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bt206\01 Allgemeines\Vorlagen und Gemeinderat\Vorlagen\81 GRDrs 506_2023 GFK im Ganztag\"/>
    </mc:Choice>
  </mc:AlternateContent>
  <bookViews>
    <workbookView xWindow="0" yWindow="0" windowWidth="28800" windowHeight="14115" firstSheet="1" activeTab="1"/>
  </bookViews>
  <sheets>
    <sheet name="21-22" sheetId="1" state="hidden" r:id="rId1"/>
    <sheet name="22-23" sheetId="2" r:id="rId2"/>
    <sheet name="Hilfstabelle" sheetId="3" state="hidden" r:id="rId3"/>
  </sheets>
  <definedNames>
    <definedName name="_xlnm.Print_Area" localSheetId="1">'22-23'!$A$1:$Q$64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36" i="2"/>
  <c r="C35" i="2"/>
  <c r="B49" i="2" l="1"/>
  <c r="D45" i="2"/>
  <c r="B45" i="2"/>
  <c r="G7" i="2"/>
  <c r="F23" i="2"/>
  <c r="G23" i="2" s="1"/>
  <c r="H23" i="2" s="1"/>
  <c r="I23" i="2" s="1"/>
  <c r="F22" i="2"/>
  <c r="F21" i="2"/>
  <c r="F20" i="2"/>
  <c r="F19" i="2"/>
  <c r="F18" i="2"/>
  <c r="F17" i="2"/>
  <c r="F16" i="2"/>
  <c r="G16" i="2" s="1"/>
  <c r="H16" i="2" s="1"/>
  <c r="I16" i="2" s="1"/>
  <c r="F15" i="2"/>
  <c r="G15" i="2" s="1"/>
  <c r="H15" i="2" s="1"/>
  <c r="I15" i="2" s="1"/>
  <c r="F14" i="2"/>
  <c r="F13" i="2"/>
  <c r="F12" i="2"/>
  <c r="F11" i="2"/>
  <c r="F10" i="2"/>
  <c r="F9" i="2"/>
  <c r="F8" i="2"/>
  <c r="D24" i="2"/>
  <c r="G8" i="2" l="1"/>
  <c r="H8" i="2" s="1"/>
  <c r="F26" i="2"/>
  <c r="B53" i="2"/>
  <c r="B61" i="2" s="1"/>
  <c r="G19" i="2"/>
  <c r="H19" i="2" s="1"/>
  <c r="I19" i="2" s="1"/>
  <c r="G11" i="2"/>
  <c r="H11" i="2" s="1"/>
  <c r="I11" i="2" s="1"/>
  <c r="G12" i="2"/>
  <c r="H12" i="2" s="1"/>
  <c r="I12" i="2" s="1"/>
  <c r="G20" i="2"/>
  <c r="H20" i="2" s="1"/>
  <c r="I20" i="2" s="1"/>
  <c r="G13" i="2"/>
  <c r="H13" i="2" s="1"/>
  <c r="I13" i="2" s="1"/>
  <c r="G21" i="2"/>
  <c r="H21" i="2" s="1"/>
  <c r="I21" i="2" s="1"/>
  <c r="G14" i="2"/>
  <c r="H14" i="2" s="1"/>
  <c r="I14" i="2" s="1"/>
  <c r="G22" i="2"/>
  <c r="H22" i="2" s="1"/>
  <c r="I22" i="2" s="1"/>
  <c r="G9" i="2"/>
  <c r="H9" i="2" s="1"/>
  <c r="I9" i="2" s="1"/>
  <c r="G17" i="2"/>
  <c r="H17" i="2" s="1"/>
  <c r="I17" i="2" s="1"/>
  <c r="G18" i="2"/>
  <c r="H18" i="2" s="1"/>
  <c r="I18" i="2" s="1"/>
  <c r="F25" i="2"/>
  <c r="I8" i="2"/>
  <c r="G10" i="2"/>
  <c r="H10" i="2" s="1"/>
  <c r="I10" i="2" s="1"/>
  <c r="F24" i="2"/>
  <c r="H24" i="2" l="1"/>
  <c r="I24" i="2"/>
  <c r="E24" i="2"/>
  <c r="B60" i="2" l="1"/>
  <c r="D60" i="2"/>
  <c r="D49" i="2"/>
  <c r="D53" i="2" l="1"/>
  <c r="D61" i="2" s="1"/>
  <c r="J20" i="2" l="1"/>
  <c r="J23" i="2"/>
  <c r="J22" i="2"/>
  <c r="J21" i="2"/>
  <c r="J19" i="2"/>
  <c r="J18" i="2"/>
  <c r="J17" i="2"/>
  <c r="J16" i="2"/>
  <c r="J15" i="2"/>
  <c r="J14" i="2"/>
  <c r="J13" i="2"/>
  <c r="J12" i="2"/>
  <c r="J11" i="2"/>
  <c r="J10" i="2"/>
  <c r="J9" i="2"/>
  <c r="J8" i="2"/>
  <c r="J25" i="2" l="1"/>
  <c r="J26" i="2"/>
  <c r="J24" i="2"/>
  <c r="B24" i="2"/>
  <c r="C24" i="2"/>
  <c r="K7" i="2"/>
  <c r="K13" i="2" s="1"/>
  <c r="K18" i="2" l="1"/>
  <c r="M18" i="2" s="1"/>
  <c r="N18" i="2" s="1"/>
  <c r="K19" i="2"/>
  <c r="M19" i="2" s="1"/>
  <c r="N19" i="2" s="1"/>
  <c r="K23" i="2"/>
  <c r="M23" i="2" s="1"/>
  <c r="N23" i="2" s="1"/>
  <c r="K17" i="2"/>
  <c r="M17" i="2" s="1"/>
  <c r="N17" i="2" s="1"/>
  <c r="K10" i="2"/>
  <c r="M10" i="2" s="1"/>
  <c r="N10" i="2" s="1"/>
  <c r="K11" i="2"/>
  <c r="M11" i="2" s="1"/>
  <c r="N11" i="2" s="1"/>
  <c r="K12" i="2"/>
  <c r="M12" i="2" s="1"/>
  <c r="N12" i="2" s="1"/>
  <c r="K20" i="2"/>
  <c r="L20" i="2" s="1"/>
  <c r="K14" i="2"/>
  <c r="M14" i="2" s="1"/>
  <c r="N14" i="2" s="1"/>
  <c r="K8" i="2"/>
  <c r="L8" i="2" s="1"/>
  <c r="K15" i="2"/>
  <c r="M15" i="2" s="1"/>
  <c r="N15" i="2" s="1"/>
  <c r="K21" i="2"/>
  <c r="M21" i="2" s="1"/>
  <c r="N21" i="2" s="1"/>
  <c r="K9" i="2"/>
  <c r="M9" i="2" s="1"/>
  <c r="N9" i="2" s="1"/>
  <c r="K16" i="2"/>
  <c r="L16" i="2" s="1"/>
  <c r="K22" i="2"/>
  <c r="M22" i="2" s="1"/>
  <c r="N22" i="2" s="1"/>
  <c r="M13" i="2"/>
  <c r="N13" i="2" s="1"/>
  <c r="L13" i="2"/>
  <c r="K24" i="1"/>
  <c r="K23" i="1"/>
  <c r="H24" i="1"/>
  <c r="O15" i="2" l="1"/>
  <c r="P15" i="2" s="1"/>
  <c r="Q15" i="2"/>
  <c r="Q13" i="2"/>
  <c r="O13" i="2"/>
  <c r="P13" i="2" s="1"/>
  <c r="Q12" i="2"/>
  <c r="O12" i="2"/>
  <c r="P12" i="2" s="1"/>
  <c r="Q11" i="2"/>
  <c r="O11" i="2"/>
  <c r="P11" i="2" s="1"/>
  <c r="Q10" i="2"/>
  <c r="O10" i="2"/>
  <c r="P10" i="2" s="1"/>
  <c r="O22" i="2"/>
  <c r="P22" i="2" s="1"/>
  <c r="Q22" i="2"/>
  <c r="O9" i="2"/>
  <c r="P9" i="2" s="1"/>
  <c r="Q9" i="2"/>
  <c r="Q21" i="2"/>
  <c r="O21" i="2"/>
  <c r="P21" i="2" s="1"/>
  <c r="O17" i="2"/>
  <c r="P17" i="2" s="1"/>
  <c r="Q17" i="2"/>
  <c r="O23" i="2"/>
  <c r="P23" i="2" s="1"/>
  <c r="Q23" i="2"/>
  <c r="Q19" i="2"/>
  <c r="O19" i="2"/>
  <c r="P19" i="2" s="1"/>
  <c r="O14" i="2"/>
  <c r="P14" i="2" s="1"/>
  <c r="Q14" i="2"/>
  <c r="Q18" i="2"/>
  <c r="O18" i="2"/>
  <c r="P18" i="2" s="1"/>
  <c r="L11" i="2"/>
  <c r="L12" i="2"/>
  <c r="L10" i="2"/>
  <c r="L23" i="2"/>
  <c r="L19" i="2"/>
  <c r="L18" i="2"/>
  <c r="L17" i="2"/>
  <c r="L14" i="2"/>
  <c r="L9" i="2"/>
  <c r="M16" i="2"/>
  <c r="N16" i="2" s="1"/>
  <c r="M20" i="2"/>
  <c r="N20" i="2" s="1"/>
  <c r="M8" i="2"/>
  <c r="N8" i="2" s="1"/>
  <c r="L22" i="2"/>
  <c r="L21" i="2"/>
  <c r="L15" i="2"/>
  <c r="C24" i="1"/>
  <c r="B24" i="1"/>
  <c r="N24" i="2" l="1"/>
  <c r="O8" i="2"/>
  <c r="P8" i="2" s="1"/>
  <c r="Q8" i="2"/>
  <c r="Q20" i="2"/>
  <c r="O20" i="2"/>
  <c r="P20" i="2" s="1"/>
  <c r="O16" i="2"/>
  <c r="P16" i="2" s="1"/>
  <c r="Q16" i="2"/>
  <c r="L24" i="2"/>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G6" i="1"/>
  <c r="O24" i="2" l="1"/>
  <c r="P24" i="2"/>
  <c r="B59" i="2" s="1"/>
  <c r="B63" i="2" s="1"/>
  <c r="Q24" i="2"/>
  <c r="H8" i="1"/>
  <c r="I8" i="1"/>
  <c r="I16" i="1"/>
  <c r="H16" i="1"/>
  <c r="I9" i="1"/>
  <c r="H9" i="1"/>
  <c r="I17" i="1"/>
  <c r="H17" i="1"/>
  <c r="I10" i="1"/>
  <c r="H10" i="1"/>
  <c r="I18" i="1"/>
  <c r="H18" i="1"/>
  <c r="I11" i="1"/>
  <c r="H11" i="1"/>
  <c r="I19" i="1"/>
  <c r="H19" i="1"/>
  <c r="H12" i="1"/>
  <c r="I12" i="1"/>
  <c r="I20" i="1"/>
  <c r="H20" i="1"/>
  <c r="I13" i="1"/>
  <c r="H13" i="1"/>
  <c r="I21" i="1"/>
  <c r="H21" i="1"/>
  <c r="I14" i="1"/>
  <c r="H14" i="1"/>
  <c r="I22" i="1"/>
  <c r="H22" i="1"/>
  <c r="I7" i="1"/>
  <c r="H7" i="1"/>
  <c r="I15" i="1"/>
  <c r="H15" i="1"/>
  <c r="I23" i="1"/>
  <c r="H23" i="1"/>
  <c r="D59" i="2" l="1"/>
  <c r="D63" i="2" s="1"/>
  <c r="J15" i="1"/>
  <c r="K15" i="1" s="1"/>
  <c r="J17" i="1"/>
  <c r="K17" i="1" s="1"/>
  <c r="J21" i="1"/>
  <c r="K21" i="1" s="1"/>
  <c r="J19" i="1"/>
  <c r="K19" i="1" s="1"/>
  <c r="J7" i="1"/>
  <c r="K7" i="1" s="1"/>
  <c r="J13" i="1"/>
  <c r="K13" i="1" s="1"/>
  <c r="J11" i="1"/>
  <c r="K11" i="1" s="1"/>
  <c r="J9" i="1"/>
  <c r="K9" i="1" s="1"/>
  <c r="J22" i="1"/>
  <c r="K22" i="1" s="1"/>
  <c r="J20" i="1"/>
  <c r="K20" i="1" s="1"/>
  <c r="J18" i="1"/>
  <c r="K18" i="1" s="1"/>
  <c r="K16" i="1"/>
  <c r="J16" i="1"/>
  <c r="J12" i="1"/>
  <c r="K12" i="1" s="1"/>
  <c r="J8" i="1"/>
  <c r="K8" i="1" s="1"/>
  <c r="J23" i="1"/>
  <c r="K14" i="1"/>
  <c r="J14" i="1"/>
  <c r="J10" i="1"/>
  <c r="K10" i="1" s="1"/>
</calcChain>
</file>

<file path=xl/sharedStrings.xml><?xml version="1.0" encoding="utf-8"?>
<sst xmlns="http://schemas.openxmlformats.org/spreadsheetml/2006/main" count="107" uniqueCount="78">
  <si>
    <t>Sondereinfluss Grundschulförderklassen im Ganztag</t>
  </si>
  <si>
    <t>Quelle: Amtliche Schulstatistik 21/22</t>
  </si>
  <si>
    <t>ab Schuljahresbeginn</t>
  </si>
  <si>
    <t>präventiv ab 2. Halbjahr *</t>
  </si>
  <si>
    <t>Schule</t>
  </si>
  <si>
    <t>Anzahl GFK</t>
  </si>
  <si>
    <t>Schülerzahl</t>
  </si>
  <si>
    <t>GFK-Gruppen **</t>
  </si>
  <si>
    <t>Stellenschlüssel ***</t>
  </si>
  <si>
    <t>2 Std.</t>
  </si>
  <si>
    <t>5 Std. ****</t>
  </si>
  <si>
    <t>+ 10% *****</t>
  </si>
  <si>
    <t>Summe</t>
  </si>
  <si>
    <t>Bachschule</t>
  </si>
  <si>
    <t>Carl-Benz-Schule</t>
  </si>
  <si>
    <t xml:space="preserve">Fasanenhofschule </t>
  </si>
  <si>
    <t xml:space="preserve">Filderschule </t>
  </si>
  <si>
    <t>GS Stammheim</t>
  </si>
  <si>
    <t>Körschtalschule</t>
  </si>
  <si>
    <t>Martin-Luther-Schule</t>
  </si>
  <si>
    <t>Österfeldschule</t>
  </si>
  <si>
    <t>Pelikanschule</t>
  </si>
  <si>
    <t>Pragschule</t>
  </si>
  <si>
    <t>Rappachschule</t>
  </si>
  <si>
    <t>Rosenschule</t>
  </si>
  <si>
    <t>Schönbuchschule</t>
  </si>
  <si>
    <t>Silcherschule</t>
  </si>
  <si>
    <t>Sommerrainschule</t>
  </si>
  <si>
    <t>Wilhelmsschule Un.</t>
  </si>
  <si>
    <t>Wilhelmsschule W.</t>
  </si>
  <si>
    <t xml:space="preserve">* Diese Gruppen werden zum 2. Halbjahr eingerichtet und in der Amtl. Schulstatistik daher nur zur Hälfte gerechnet. </t>
  </si>
  <si>
    <t xml:space="preserve">** Als Betreuungsschlüssel wurden 1:12 angesetzt. </t>
  </si>
  <si>
    <r>
      <t xml:space="preserve">*** Grundlage sind 0,15 pro Person und Stunde, </t>
    </r>
    <r>
      <rPr>
        <b/>
        <sz val="11"/>
        <color rgb="FFC00000"/>
        <rFont val="Arial"/>
        <family val="2"/>
      </rPr>
      <t>65.000 €</t>
    </r>
    <r>
      <rPr>
        <sz val="10"/>
        <rFont val="Arial"/>
        <family val="2"/>
      </rPr>
      <t xml:space="preserve"> pro Personalstelle. </t>
    </r>
  </si>
  <si>
    <t>**** Grundlage sind Betreuungszeiten von 11 bis 16 Uhr.</t>
  </si>
  <si>
    <t>***** 10% Inklusionszuschlag</t>
  </si>
  <si>
    <t>Kein Finanzbedarf, aber entspr. Stellenbedarf bei 51</t>
  </si>
  <si>
    <t>Nachschlagewert</t>
  </si>
  <si>
    <t>Rückgabewert</t>
  </si>
  <si>
    <r>
      <t xml:space="preserve">*** Grundlage sind 0,15 pro Person und Stunde, </t>
    </r>
    <r>
      <rPr>
        <sz val="11"/>
        <rFont val="Arial"/>
        <family val="2"/>
      </rPr>
      <t xml:space="preserve">65.000 € pro Personalstelle. </t>
    </r>
  </si>
  <si>
    <t>Ganztagesschule</t>
  </si>
  <si>
    <t>Landeszuschüsse</t>
  </si>
  <si>
    <t xml:space="preserve">Elternentgelt </t>
  </si>
  <si>
    <t>Finanzielle Auswirkungen</t>
  </si>
  <si>
    <t>Zu erwartende Einnahmen pro Jahr: Elternentgelt und Landeszuschüsse</t>
  </si>
  <si>
    <t>Einnahmen</t>
  </si>
  <si>
    <t>2025 ff.</t>
  </si>
  <si>
    <t>Bedarf gesamt</t>
  </si>
  <si>
    <t>vorhandene Mittel</t>
  </si>
  <si>
    <t>Anlage 1 zu GRDrs 506/2023: Sondereinfluss Grundschulförderklassen im Ganztag</t>
  </si>
  <si>
    <t>Ganztagesschulen mit Grundschulförderklassen (GFK)</t>
  </si>
  <si>
    <t>Gruppen</t>
  </si>
  <si>
    <t>2 Std. ****</t>
  </si>
  <si>
    <t>**** Grundlage sind Betreuungszeiten von maximal 2 bzw. 5 Stunden im Anschluss an den Stundenplan.</t>
  </si>
  <si>
    <t>** Diese Gruppen werden zum 2. Halbjahr eingerichtet und in der Amtlichen Schulstatistik daher nur zur Hälfte gerechnet.</t>
  </si>
  <si>
    <t>2024 *****</t>
  </si>
  <si>
    <t>+ 10% ******</t>
  </si>
  <si>
    <t>***** 2024: Januar bis August bzw. September bis Dezember</t>
  </si>
  <si>
    <t>GFK</t>
  </si>
  <si>
    <t>SuS</t>
  </si>
  <si>
    <t>Anzahl *</t>
  </si>
  <si>
    <t>Anzahl **</t>
  </si>
  <si>
    <t>* Anzahl ab Schuljahresbeginn</t>
  </si>
  <si>
    <t>Quelle: Amtliche Schulstatistik 2022/2023</t>
  </si>
  <si>
    <t>Bedarf</t>
  </si>
  <si>
    <t>2024: Januar bis August: 9 Gruppen à 20 Kinder, 10 Kinder pro Gruppe zahlen, 11 Monate, 10 Std. pro Woche, 2 Kinder pro Familie, 25€ pro Monat; September bis Dezember: 13 Gruppen à 12 Kinder, 6 Kinder pro Gruppe zahlen, 11 Monate, 25 Std. pro Woche, 2 Kinde pro Familie, 61€ pro Monat                                                                                                                                                                                                                                                                                                                                                2025: 13 Gruppen à 12 Kinder, 6 Kinder pro Gruppe zahlen, 25 Stunden pro Woche, 11 Monate, 2 Kinder pro Familie, 61€ pro Monat                                                                                                                                                                                                                                                                                                 Schulen, deren Ganztag sich in städtischer Trägerschaft befindet, wurden nicht berücksichtigt, da das Elternentgelt hier vom Jugendamt vereinnahmt wird. Die Familienkarte wurde in dieser Berechnung nicht berücksichtigt.</t>
  </si>
  <si>
    <t xml:space="preserve">2024: Januar bis August: 17 Gruppen, 10 Stunden pro Woche, 275€ pro Wochenstunde; September bis Dezember: 24 Gruppen, 15 Stunden pro Woche, 275€ pro Wochenstunde                                                                                                                                    2025: 24 Gruppen, 15 Stunden pro Woche, 275€ pro Wochenstunde                                                                                                                                                                                                                                                                                                                                                                     Die Landeszuschüsse werden auf 379€ pro Wochenstunde erhöht, der Zeitpunkt ist jedoch unklar. Die Bezuschussung von Seiten des Landes ist auf 15 Wochenstunden gedeckelt. Ggf. ist eine Aufteilung auf die Bezuschussung für "Verlässliche Grundschule" bzw. "Flexible Nachmittagsbetreuung" möglich, diese ist jedoch abhängig vom jeweiligen Stundenplan. </t>
  </si>
  <si>
    <t>****** 10% Inklusionszuschlag, in den Folgejahren bereits in der Berechnung enthalten</t>
  </si>
  <si>
    <t>Betreuungsschlüssel 1:20
(altes Modell)</t>
  </si>
  <si>
    <t>Betreuungsschlüssel 1:12
(neues Modell)</t>
  </si>
  <si>
    <t>(01-08/24 altes Modell 
09-12/24 neues Modell)</t>
  </si>
  <si>
    <t>neues Modell</t>
  </si>
  <si>
    <t>Kein Finanzbedarf, aber entsprechender Stellenbedarf beim Jugendamt:</t>
  </si>
  <si>
    <t>Vollzeitstellen derzeit</t>
  </si>
  <si>
    <t>8 Gruppen, 10 Std. pro Woche, 39-Std.-Woche</t>
  </si>
  <si>
    <t>Vollzeitstellen zukünftig</t>
  </si>
  <si>
    <t>11 Gruppen, 25 Std. pro Woche, 39-Std.-Woche</t>
  </si>
  <si>
    <t>Vollzeitstellen erforderlich</t>
  </si>
  <si>
    <t>mindestens 3 zusätzliche Gruppen, 15 Std. zusätzlich pro Woche für 11 Gruppen, 39-Std.-Woche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</si>
</sst>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6" x14ac:knownFonts="1">
    <font>
      <sz val="11"/>
      <color theme="1"/>
      <name val="Arial"/>
      <family val="2"/>
    </font>
    <font>
      <sz val="11"/>
      <color theme="1"/>
      <name val="Arial"/>
      <family val="2"/>
    </font>
    <font>
      <b/>
      <sz val="11"/>
      <color theme="1"/>
      <name val="Arial"/>
      <family val="2"/>
    </font>
    <font>
      <sz val="11"/>
      <color theme="4"/>
      <name val="Arial"/>
      <family val="2"/>
    </font>
    <font>
      <sz val="11"/>
      <name val="Arial"/>
      <family val="2"/>
    </font>
    <font>
      <b/>
      <sz val="11"/>
      <color rgb="FFC00000"/>
      <name val="Arial"/>
      <family val="2"/>
    </font>
    <font>
      <sz val="10"/>
      <name val="Arial"/>
      <family val="2"/>
    </font>
    <font>
      <b/>
      <sz val="14"/>
      <color theme="1"/>
      <name val="Arial"/>
      <family val="2"/>
    </font>
    <font>
      <b/>
      <sz val="11"/>
      <name val="Arial"/>
      <family val="2"/>
    </font>
    <font>
      <sz val="11"/>
      <color rgb="FF0070C0"/>
      <name val="Arial"/>
      <family val="2"/>
    </font>
    <font>
      <sz val="8"/>
      <name val="Arial"/>
      <family val="2"/>
    </font>
    <font>
      <sz val="8"/>
      <color theme="1"/>
      <name val="Arial"/>
      <family val="2"/>
    </font>
    <font>
      <b/>
      <sz val="12"/>
      <color theme="1"/>
      <name val="Arial"/>
      <family val="2"/>
    </font>
    <font>
      <sz val="12"/>
      <color theme="1"/>
      <name val="Arial"/>
      <family val="2"/>
    </font>
    <font>
      <b/>
      <sz val="10"/>
      <color theme="1"/>
      <name val="Arial"/>
      <family val="2"/>
    </font>
    <font>
      <b/>
      <sz val="11"/>
      <color theme="4"/>
      <name val="Arial"/>
      <family val="2"/>
    </font>
  </fonts>
  <fills count="4">
    <fill>
      <patternFill patternType="none"/>
    </fill>
    <fill>
      <patternFill patternType="gray125"/>
    </fill>
    <fill>
      <patternFill patternType="solid">
        <fgColor rgb="FFFFFFCC"/>
        <bgColor indexed="64"/>
      </patternFill>
    </fill>
    <fill>
      <patternFill patternType="solid">
        <fgColor rgb="FFFFCCC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76">
    <xf numFmtId="0" fontId="0" fillId="0" borderId="0" xfId="0"/>
    <xf numFmtId="0" fontId="2" fillId="0" borderId="0" xfId="1" applyFont="1"/>
    <xf numFmtId="0" fontId="1" fillId="0" borderId="0" xfId="1"/>
    <xf numFmtId="0" fontId="2" fillId="0" borderId="0" xfId="1" applyFont="1" applyBorder="1" applyAlignment="1">
      <alignment horizontal="center"/>
    </xf>
    <xf numFmtId="0" fontId="2" fillId="0" borderId="1" xfId="1" applyFont="1" applyBorder="1"/>
    <xf numFmtId="0" fontId="2" fillId="2" borderId="1" xfId="1" applyFont="1" applyFill="1" applyBorder="1"/>
    <xf numFmtId="0" fontId="2" fillId="0" borderId="1" xfId="1" quotePrefix="1" applyFont="1" applyBorder="1"/>
    <xf numFmtId="9" fontId="2" fillId="0" borderId="1" xfId="1" quotePrefix="1" applyNumberFormat="1" applyFont="1" applyBorder="1"/>
    <xf numFmtId="0" fontId="2" fillId="0" borderId="0" xfId="1" applyFont="1" applyBorder="1"/>
    <xf numFmtId="44" fontId="1" fillId="0" borderId="0" xfId="1" applyNumberFormat="1" applyFont="1" applyBorder="1"/>
    <xf numFmtId="0" fontId="2" fillId="0" borderId="0" xfId="1" applyFont="1" applyFill="1"/>
    <xf numFmtId="0" fontId="1" fillId="0" borderId="2" xfId="1" applyFont="1" applyBorder="1"/>
    <xf numFmtId="0" fontId="1" fillId="0" borderId="2" xfId="1" applyBorder="1" applyAlignment="1">
      <alignment horizontal="center"/>
    </xf>
    <xf numFmtId="0" fontId="1" fillId="2" borderId="2" xfId="1" applyFill="1" applyBorder="1" applyAlignment="1">
      <alignment horizontal="center"/>
    </xf>
    <xf numFmtId="44" fontId="1" fillId="0" borderId="2" xfId="1" applyNumberFormat="1" applyBorder="1"/>
    <xf numFmtId="44" fontId="1" fillId="2" borderId="2" xfId="1" applyNumberFormat="1" applyFill="1" applyBorder="1"/>
    <xf numFmtId="0" fontId="1" fillId="0" borderId="3" xfId="1" applyFont="1" applyBorder="1"/>
    <xf numFmtId="0" fontId="1" fillId="0" borderId="3" xfId="1" applyBorder="1" applyAlignment="1">
      <alignment horizontal="center"/>
    </xf>
    <xf numFmtId="0" fontId="1" fillId="2" borderId="3" xfId="1" applyFill="1" applyBorder="1" applyAlignment="1">
      <alignment horizontal="center"/>
    </xf>
    <xf numFmtId="44" fontId="1" fillId="0" borderId="3" xfId="1" applyNumberFormat="1" applyBorder="1"/>
    <xf numFmtId="44" fontId="1" fillId="2" borderId="3" xfId="1" applyNumberFormat="1" applyFill="1" applyBorder="1"/>
    <xf numFmtId="0" fontId="3" fillId="0" borderId="3" xfId="1" applyFont="1" applyBorder="1"/>
    <xf numFmtId="44" fontId="3" fillId="0" borderId="3" xfId="1" applyNumberFormat="1" applyFont="1" applyBorder="1"/>
    <xf numFmtId="44" fontId="3" fillId="0" borderId="2" xfId="1" applyNumberFormat="1" applyFont="1" applyBorder="1"/>
    <xf numFmtId="44" fontId="3" fillId="2" borderId="3" xfId="1" applyNumberFormat="1" applyFont="1" applyFill="1" applyBorder="1"/>
    <xf numFmtId="0" fontId="1" fillId="0" borderId="3" xfId="1" applyBorder="1"/>
    <xf numFmtId="44" fontId="4" fillId="0" borderId="3" xfId="1" applyNumberFormat="1" applyFont="1" applyBorder="1"/>
    <xf numFmtId="44" fontId="4" fillId="0" borderId="2" xfId="1" applyNumberFormat="1" applyFont="1" applyBorder="1"/>
    <xf numFmtId="0" fontId="3" fillId="0" borderId="4" xfId="1" applyFont="1" applyBorder="1"/>
    <xf numFmtId="0" fontId="1" fillId="0" borderId="4" xfId="1" applyBorder="1" applyAlignment="1">
      <alignment horizontal="center"/>
    </xf>
    <xf numFmtId="0" fontId="1" fillId="2" borderId="4" xfId="1" applyFill="1" applyBorder="1" applyAlignment="1">
      <alignment horizontal="center"/>
    </xf>
    <xf numFmtId="44" fontId="3" fillId="0" borderId="4" xfId="1" applyNumberFormat="1" applyFont="1" applyBorder="1"/>
    <xf numFmtId="44" fontId="3" fillId="0" borderId="1" xfId="1" applyNumberFormat="1" applyFont="1" applyBorder="1"/>
    <xf numFmtId="0" fontId="1" fillId="0" borderId="0" xfId="1" applyFont="1" applyBorder="1"/>
    <xf numFmtId="0" fontId="1" fillId="0" borderId="0" xfId="1" applyBorder="1" applyAlignment="1">
      <alignment horizontal="center"/>
    </xf>
    <xf numFmtId="0" fontId="1" fillId="0" borderId="0" xfId="1" applyFill="1" applyBorder="1" applyAlignment="1">
      <alignment horizontal="center"/>
    </xf>
    <xf numFmtId="0" fontId="1" fillId="0" borderId="0" xfId="1" applyBorder="1"/>
    <xf numFmtId="44" fontId="2" fillId="2" borderId="1" xfId="1" applyNumberFormat="1" applyFont="1" applyFill="1" applyBorder="1"/>
    <xf numFmtId="44" fontId="2" fillId="0" borderId="0" xfId="1" applyNumberFormat="1" applyFont="1" applyFill="1" applyBorder="1"/>
    <xf numFmtId="0" fontId="3" fillId="0" borderId="0" xfId="1" applyFont="1"/>
    <xf numFmtId="0" fontId="0" fillId="0" borderId="0" xfId="1" applyFont="1"/>
    <xf numFmtId="0" fontId="1" fillId="0" borderId="2" xfId="1" applyFill="1" applyBorder="1" applyAlignment="1">
      <alignment horizontal="center"/>
    </xf>
    <xf numFmtId="44" fontId="2" fillId="2" borderId="4" xfId="1" applyNumberFormat="1" applyFont="1" applyFill="1" applyBorder="1"/>
    <xf numFmtId="44" fontId="1" fillId="0" borderId="4" xfId="1" applyNumberFormat="1" applyBorder="1"/>
    <xf numFmtId="44" fontId="1" fillId="0" borderId="7" xfId="1" applyNumberFormat="1" applyBorder="1"/>
    <xf numFmtId="44" fontId="1" fillId="0" borderId="8" xfId="1" applyNumberFormat="1" applyBorder="1"/>
    <xf numFmtId="44" fontId="4" fillId="0" borderId="8" xfId="1" applyNumberFormat="1" applyFont="1" applyBorder="1"/>
    <xf numFmtId="44" fontId="1" fillId="0" borderId="9" xfId="1" applyNumberFormat="1" applyBorder="1"/>
    <xf numFmtId="44" fontId="1" fillId="0" borderId="10" xfId="1" applyNumberFormat="1" applyBorder="1"/>
    <xf numFmtId="44" fontId="1" fillId="0" borderId="0" xfId="1" applyNumberFormat="1" applyBorder="1"/>
    <xf numFmtId="44" fontId="4" fillId="0" borderId="0" xfId="1" applyNumberFormat="1" applyFont="1" applyBorder="1"/>
    <xf numFmtId="44" fontId="1" fillId="0" borderId="11" xfId="1" applyNumberFormat="1" applyBorder="1"/>
    <xf numFmtId="0" fontId="7" fillId="0" borderId="0" xfId="1" applyFont="1"/>
    <xf numFmtId="0" fontId="1" fillId="0" borderId="0" xfId="1" applyFont="1"/>
    <xf numFmtId="44" fontId="1" fillId="0" borderId="0" xfId="1" applyNumberFormat="1"/>
    <xf numFmtId="44" fontId="2" fillId="0" borderId="1" xfId="1" applyNumberFormat="1" applyFont="1" applyBorder="1"/>
    <xf numFmtId="44" fontId="0" fillId="0" borderId="0" xfId="1" applyNumberFormat="1" applyFont="1"/>
    <xf numFmtId="0" fontId="0" fillId="0" borderId="0" xfId="0" applyAlignment="1">
      <alignment wrapText="1"/>
    </xf>
    <xf numFmtId="0" fontId="2" fillId="0" borderId="0" xfId="0" applyFont="1" applyAlignment="1">
      <alignment wrapText="1"/>
    </xf>
    <xf numFmtId="0" fontId="2" fillId="0" borderId="0" xfId="1" applyNumberFormat="1" applyFont="1"/>
    <xf numFmtId="44" fontId="2" fillId="0" borderId="0" xfId="0" applyNumberFormat="1" applyFont="1" applyBorder="1" applyAlignment="1">
      <alignment wrapText="1"/>
    </xf>
    <xf numFmtId="0" fontId="2" fillId="0" borderId="0" xfId="1" applyFont="1" applyFill="1" applyBorder="1"/>
    <xf numFmtId="0" fontId="1" fillId="0" borderId="0" xfId="1" applyFill="1" applyBorder="1"/>
    <xf numFmtId="44" fontId="1" fillId="2" borderId="5" xfId="1" applyNumberFormat="1" applyFill="1" applyBorder="1"/>
    <xf numFmtId="44" fontId="1" fillId="2" borderId="6" xfId="1" applyNumberFormat="1" applyFill="1" applyBorder="1"/>
    <xf numFmtId="0" fontId="2" fillId="0" borderId="1" xfId="1" applyFont="1" applyBorder="1" applyAlignment="1">
      <alignment horizontal="center"/>
    </xf>
    <xf numFmtId="0" fontId="1" fillId="0" borderId="1" xfId="1" applyBorder="1" applyAlignment="1">
      <alignment horizontal="center"/>
    </xf>
    <xf numFmtId="0" fontId="0" fillId="0" borderId="0" xfId="0" applyAlignment="1">
      <alignment wrapText="1"/>
    </xf>
    <xf numFmtId="0" fontId="0" fillId="0" borderId="0" xfId="1" applyFont="1" applyAlignment="1"/>
    <xf numFmtId="0" fontId="0" fillId="0" borderId="0" xfId="0" applyAlignment="1"/>
    <xf numFmtId="0" fontId="8" fillId="0" borderId="0" xfId="1" applyFont="1"/>
    <xf numFmtId="0" fontId="2" fillId="3" borderId="13" xfId="1" applyFont="1" applyFill="1" applyBorder="1"/>
    <xf numFmtId="0" fontId="1" fillId="3" borderId="10" xfId="1" applyFill="1" applyBorder="1" applyAlignment="1">
      <alignment horizontal="center"/>
    </xf>
    <xf numFmtId="0" fontId="1" fillId="3" borderId="0" xfId="1" applyFill="1" applyBorder="1" applyAlignment="1">
      <alignment horizontal="center"/>
    </xf>
    <xf numFmtId="0" fontId="2" fillId="0" borderId="18" xfId="1" applyFont="1" applyBorder="1"/>
    <xf numFmtId="0" fontId="2" fillId="0" borderId="19" xfId="1" applyFont="1" applyBorder="1"/>
    <xf numFmtId="0" fontId="2" fillId="0" borderId="20" xfId="1" applyFont="1" applyBorder="1"/>
    <xf numFmtId="0" fontId="1" fillId="0" borderId="21" xfId="1" applyFont="1" applyFill="1" applyBorder="1"/>
    <xf numFmtId="0" fontId="1" fillId="0" borderId="22" xfId="1" applyBorder="1" applyAlignment="1">
      <alignment horizontal="center"/>
    </xf>
    <xf numFmtId="0" fontId="1" fillId="0" borderId="23" xfId="1" applyFont="1" applyFill="1" applyBorder="1"/>
    <xf numFmtId="0" fontId="1" fillId="0" borderId="24" xfId="1" applyBorder="1" applyAlignment="1">
      <alignment horizontal="center"/>
    </xf>
    <xf numFmtId="0" fontId="1" fillId="0" borderId="23" xfId="1" applyFill="1" applyBorder="1"/>
    <xf numFmtId="0" fontId="1" fillId="0" borderId="17" xfId="1" applyFont="1" applyFill="1" applyBorder="1"/>
    <xf numFmtId="0" fontId="1" fillId="0" borderId="25" xfId="1" applyBorder="1" applyAlignment="1">
      <alignment horizontal="center"/>
    </xf>
    <xf numFmtId="0" fontId="1" fillId="0" borderId="26" xfId="1" applyFont="1" applyBorder="1"/>
    <xf numFmtId="0" fontId="1" fillId="0" borderId="27" xfId="1" applyBorder="1" applyAlignment="1">
      <alignment horizontal="center"/>
    </xf>
    <xf numFmtId="0" fontId="1" fillId="0" borderId="19" xfId="1" applyFont="1" applyBorder="1"/>
    <xf numFmtId="0" fontId="1" fillId="0" borderId="18" xfId="1" applyBorder="1" applyAlignment="1">
      <alignment horizontal="center"/>
    </xf>
    <xf numFmtId="0" fontId="1" fillId="0" borderId="20" xfId="1" applyBorder="1" applyAlignment="1">
      <alignment horizontal="center"/>
    </xf>
    <xf numFmtId="0" fontId="1" fillId="0" borderId="28" xfId="1" applyBorder="1" applyAlignment="1">
      <alignment horizontal="center"/>
    </xf>
    <xf numFmtId="0" fontId="2" fillId="2" borderId="32" xfId="1" applyFont="1" applyFill="1" applyBorder="1"/>
    <xf numFmtId="0" fontId="1" fillId="2" borderId="21" xfId="1" applyFill="1" applyBorder="1" applyAlignment="1">
      <alignment horizontal="center"/>
    </xf>
    <xf numFmtId="44" fontId="1" fillId="0" borderId="22" xfId="1" applyNumberFormat="1" applyBorder="1"/>
    <xf numFmtId="0" fontId="1" fillId="2" borderId="23" xfId="1" applyFill="1" applyBorder="1" applyAlignment="1">
      <alignment horizontal="center"/>
    </xf>
    <xf numFmtId="44" fontId="1" fillId="0" borderId="24" xfId="1" applyNumberFormat="1" applyBorder="1"/>
    <xf numFmtId="0" fontId="1" fillId="2" borderId="17" xfId="1" applyFill="1" applyBorder="1" applyAlignment="1">
      <alignment horizontal="center"/>
    </xf>
    <xf numFmtId="44" fontId="2" fillId="0" borderId="20" xfId="1" applyNumberFormat="1" applyFont="1" applyBorder="1"/>
    <xf numFmtId="0" fontId="1" fillId="2" borderId="34" xfId="1" applyFill="1" applyBorder="1" applyAlignment="1">
      <alignment horizontal="center"/>
    </xf>
    <xf numFmtId="0" fontId="1" fillId="0" borderId="27" xfId="1" applyBorder="1"/>
    <xf numFmtId="44" fontId="2" fillId="0" borderId="27" xfId="1" applyNumberFormat="1" applyFont="1" applyFill="1" applyBorder="1"/>
    <xf numFmtId="0" fontId="1" fillId="0" borderId="27" xfId="1" applyFill="1" applyBorder="1"/>
    <xf numFmtId="44" fontId="2" fillId="0" borderId="28" xfId="1" applyNumberFormat="1" applyFont="1" applyBorder="1"/>
    <xf numFmtId="0" fontId="2" fillId="2" borderId="12" xfId="1" applyFont="1" applyFill="1" applyBorder="1"/>
    <xf numFmtId="0" fontId="2" fillId="0" borderId="32" xfId="1" applyFont="1" applyBorder="1"/>
    <xf numFmtId="44" fontId="1" fillId="0" borderId="33" xfId="1" applyNumberFormat="1" applyBorder="1"/>
    <xf numFmtId="44" fontId="1" fillId="0" borderId="19" xfId="1" applyNumberFormat="1" applyBorder="1"/>
    <xf numFmtId="44" fontId="2" fillId="0" borderId="19" xfId="1" applyNumberFormat="1" applyFont="1" applyBorder="1"/>
    <xf numFmtId="44" fontId="2" fillId="0" borderId="26" xfId="1" applyNumberFormat="1" applyFont="1" applyBorder="1"/>
    <xf numFmtId="0" fontId="2" fillId="3" borderId="18" xfId="1" applyFont="1" applyFill="1" applyBorder="1"/>
    <xf numFmtId="0" fontId="9" fillId="0" borderId="23" xfId="1" applyFont="1" applyFill="1" applyBorder="1"/>
    <xf numFmtId="0" fontId="9" fillId="0" borderId="3" xfId="1" applyFont="1" applyBorder="1" applyAlignment="1">
      <alignment horizontal="center"/>
    </xf>
    <xf numFmtId="0" fontId="9" fillId="0" borderId="24" xfId="1" applyFont="1" applyBorder="1" applyAlignment="1">
      <alignment horizontal="center"/>
    </xf>
    <xf numFmtId="0" fontId="9" fillId="2" borderId="23" xfId="1" applyFont="1" applyFill="1" applyBorder="1" applyAlignment="1">
      <alignment horizontal="center"/>
    </xf>
    <xf numFmtId="44" fontId="9" fillId="0" borderId="0" xfId="1" applyNumberFormat="1" applyFont="1" applyBorder="1"/>
    <xf numFmtId="44" fontId="9" fillId="0" borderId="3" xfId="1" applyNumberFormat="1" applyFont="1" applyBorder="1"/>
    <xf numFmtId="44" fontId="9" fillId="0" borderId="8" xfId="1" applyNumberFormat="1" applyFont="1" applyBorder="1"/>
    <xf numFmtId="44" fontId="9" fillId="2" borderId="6" xfId="1" applyNumberFormat="1" applyFont="1" applyFill="1" applyBorder="1"/>
    <xf numFmtId="44" fontId="9" fillId="0" borderId="19" xfId="1" applyNumberFormat="1" applyFont="1" applyBorder="1"/>
    <xf numFmtId="44" fontId="9" fillId="0" borderId="24" xfId="1" applyNumberFormat="1" applyFont="1" applyBorder="1"/>
    <xf numFmtId="0" fontId="9" fillId="0" borderId="0" xfId="1" applyFont="1"/>
    <xf numFmtId="0" fontId="9" fillId="2" borderId="32" xfId="1" applyFont="1" applyFill="1" applyBorder="1" applyAlignment="1">
      <alignment horizontal="center"/>
    </xf>
    <xf numFmtId="44" fontId="1" fillId="0" borderId="2" xfId="1" applyNumberFormat="1" applyBorder="1" applyAlignment="1">
      <alignment horizontal="center"/>
    </xf>
    <xf numFmtId="44" fontId="1" fillId="0" borderId="3" xfId="1" applyNumberFormat="1" applyBorder="1" applyAlignment="1">
      <alignment horizontal="center"/>
    </xf>
    <xf numFmtId="44" fontId="9" fillId="0" borderId="3" xfId="1" applyNumberFormat="1" applyFont="1" applyBorder="1" applyAlignment="1">
      <alignment horizontal="center"/>
    </xf>
    <xf numFmtId="44" fontId="1" fillId="0" borderId="4" xfId="1" applyNumberFormat="1" applyBorder="1" applyAlignment="1">
      <alignment horizontal="center"/>
    </xf>
    <xf numFmtId="44" fontId="1" fillId="3" borderId="22" xfId="1" applyNumberFormat="1" applyFill="1" applyBorder="1" applyAlignment="1">
      <alignment horizontal="center"/>
    </xf>
    <xf numFmtId="44" fontId="1" fillId="3" borderId="24" xfId="1" applyNumberFormat="1" applyFill="1" applyBorder="1" applyAlignment="1">
      <alignment horizontal="center"/>
    </xf>
    <xf numFmtId="44" fontId="9" fillId="3" borderId="24" xfId="1" applyNumberFormat="1" applyFont="1" applyFill="1" applyBorder="1" applyAlignment="1">
      <alignment horizontal="center"/>
    </xf>
    <xf numFmtId="44" fontId="2" fillId="3" borderId="35" xfId="1" applyNumberFormat="1" applyFont="1" applyFill="1" applyBorder="1" applyAlignment="1">
      <alignment horizontal="center"/>
    </xf>
    <xf numFmtId="44" fontId="2" fillId="0" borderId="1" xfId="1" applyNumberFormat="1" applyFont="1" applyBorder="1" applyAlignment="1">
      <alignment horizontal="center"/>
    </xf>
    <xf numFmtId="0" fontId="9" fillId="3" borderId="0" xfId="1" applyFont="1" applyFill="1" applyBorder="1" applyAlignment="1">
      <alignment horizontal="center"/>
    </xf>
    <xf numFmtId="0" fontId="9" fillId="3" borderId="13" xfId="1" applyFont="1" applyFill="1" applyBorder="1" applyAlignment="1">
      <alignment horizontal="center"/>
    </xf>
    <xf numFmtId="0" fontId="1" fillId="3" borderId="36" xfId="1" applyFill="1" applyBorder="1" applyAlignment="1">
      <alignment horizontal="center"/>
    </xf>
    <xf numFmtId="44" fontId="2" fillId="2" borderId="12" xfId="1" applyNumberFormat="1" applyFont="1" applyFill="1" applyBorder="1"/>
    <xf numFmtId="44" fontId="2" fillId="0" borderId="32" xfId="1" applyNumberFormat="1" applyFont="1" applyBorder="1"/>
    <xf numFmtId="44" fontId="2" fillId="0" borderId="18" xfId="1" applyNumberFormat="1" applyFont="1" applyBorder="1"/>
    <xf numFmtId="0" fontId="2" fillId="3" borderId="13" xfId="1" applyFont="1" applyFill="1" applyBorder="1" applyAlignment="1">
      <alignment horizontal="center"/>
    </xf>
    <xf numFmtId="0" fontId="2" fillId="2" borderId="32" xfId="1" applyFont="1" applyFill="1" applyBorder="1" applyAlignment="1">
      <alignment horizontal="center"/>
    </xf>
    <xf numFmtId="44" fontId="2" fillId="0" borderId="0" xfId="1" applyNumberFormat="1" applyFont="1" applyBorder="1" applyAlignment="1"/>
    <xf numFmtId="0" fontId="0" fillId="0" borderId="0" xfId="0" applyBorder="1" applyAlignment="1"/>
    <xf numFmtId="0" fontId="0" fillId="0" borderId="0" xfId="0" applyAlignment="1">
      <alignment vertical="top" wrapText="1"/>
    </xf>
    <xf numFmtId="0" fontId="14" fillId="0" borderId="19" xfId="1" applyFont="1" applyBorder="1" applyAlignment="1">
      <alignment wrapText="1"/>
    </xf>
    <xf numFmtId="0" fontId="2" fillId="0" borderId="1" xfId="1" applyFont="1" applyBorder="1" applyAlignment="1">
      <alignment horizontal="center"/>
    </xf>
    <xf numFmtId="0" fontId="1" fillId="0" borderId="1" xfId="1" applyBorder="1" applyAlignment="1">
      <alignment horizontal="center"/>
    </xf>
    <xf numFmtId="0" fontId="2" fillId="0" borderId="1" xfId="1" quotePrefix="1" applyFont="1" applyBorder="1" applyAlignment="1">
      <alignment horizontal="center"/>
    </xf>
    <xf numFmtId="44" fontId="2" fillId="0" borderId="1" xfId="1" applyNumberFormat="1" applyFont="1" applyFill="1" applyBorder="1" applyAlignment="1"/>
    <xf numFmtId="0" fontId="0" fillId="0" borderId="1" xfId="0" applyFill="1" applyBorder="1" applyAlignment="1"/>
    <xf numFmtId="0" fontId="12" fillId="0" borderId="0" xfId="1" applyFont="1" applyBorder="1" applyAlignment="1">
      <alignment horizontal="center"/>
    </xf>
    <xf numFmtId="0" fontId="13" fillId="0" borderId="0" xfId="0" applyFont="1" applyBorder="1" applyAlignment="1">
      <alignment horizontal="center"/>
    </xf>
    <xf numFmtId="44" fontId="8" fillId="0" borderId="1" xfId="1" applyNumberFormat="1" applyFont="1" applyFill="1" applyBorder="1" applyAlignment="1"/>
    <xf numFmtId="0" fontId="4" fillId="0" borderId="1" xfId="0" applyFont="1" applyFill="1" applyBorder="1" applyAlignment="1"/>
    <xf numFmtId="44" fontId="2" fillId="0" borderId="1" xfId="0" applyNumberFormat="1" applyFont="1" applyBorder="1" applyAlignment="1">
      <alignment wrapText="1"/>
    </xf>
    <xf numFmtId="0" fontId="0" fillId="0" borderId="1" xfId="0" applyBorder="1" applyAlignment="1">
      <alignment wrapText="1"/>
    </xf>
    <xf numFmtId="0" fontId="8" fillId="0" borderId="1" xfId="0" applyFont="1" applyFill="1" applyBorder="1" applyAlignment="1"/>
    <xf numFmtId="44" fontId="1" fillId="0" borderId="12" xfId="1" applyNumberFormat="1" applyFont="1" applyBorder="1" applyAlignment="1"/>
    <xf numFmtId="0" fontId="0" fillId="0" borderId="13" xfId="0" applyFont="1" applyBorder="1" applyAlignment="1"/>
    <xf numFmtId="0" fontId="2" fillId="0" borderId="15" xfId="1" applyFont="1" applyBorder="1" applyAlignment="1">
      <alignment horizontal="center"/>
    </xf>
    <xf numFmtId="0" fontId="1" fillId="0" borderId="15" xfId="1" applyBorder="1" applyAlignment="1">
      <alignment horizontal="center"/>
    </xf>
    <xf numFmtId="0" fontId="2" fillId="0" borderId="15" xfId="1" quotePrefix="1" applyFont="1" applyBorder="1" applyAlignment="1">
      <alignment horizontal="center"/>
    </xf>
    <xf numFmtId="0" fontId="1" fillId="0" borderId="16" xfId="1" applyBorder="1" applyAlignment="1">
      <alignment horizontal="center"/>
    </xf>
    <xf numFmtId="0" fontId="10" fillId="0" borderId="0" xfId="1" applyFont="1" applyAlignment="1">
      <alignment vertical="top" wrapText="1"/>
    </xf>
    <xf numFmtId="0" fontId="0" fillId="0" borderId="0" xfId="0" applyAlignment="1">
      <alignment vertical="top" wrapText="1"/>
    </xf>
    <xf numFmtId="0" fontId="11" fillId="0" borderId="0" xfId="1" applyFont="1" applyAlignment="1">
      <alignment vertical="top" wrapText="1"/>
    </xf>
    <xf numFmtId="0" fontId="11" fillId="0" borderId="0" xfId="0" applyFont="1" applyAlignment="1">
      <alignment vertical="top" wrapText="1"/>
    </xf>
    <xf numFmtId="0" fontId="2" fillId="0" borderId="14" xfId="1" applyFont="1" applyBorder="1" applyAlignment="1">
      <alignment horizontal="left" vertical="center"/>
    </xf>
    <xf numFmtId="0" fontId="1" fillId="0" borderId="17" xfId="0" applyFont="1" applyBorder="1" applyAlignment="1">
      <alignment horizontal="left" vertical="center"/>
    </xf>
    <xf numFmtId="0" fontId="2" fillId="0" borderId="30" xfId="1" applyFont="1" applyBorder="1" applyAlignment="1">
      <alignment horizontal="center"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9" xfId="1" applyFont="1" applyBorder="1" applyAlignment="1">
      <alignment horizontal="center"/>
    </xf>
    <xf numFmtId="0" fontId="0" fillId="0" borderId="31" xfId="0" applyBorder="1" applyAlignment="1">
      <alignment horizontal="center"/>
    </xf>
    <xf numFmtId="0" fontId="2" fillId="0" borderId="29" xfId="1" applyFont="1" applyBorder="1" applyAlignment="1">
      <alignment horizontal="center" wrapText="1"/>
    </xf>
    <xf numFmtId="0" fontId="0" fillId="0" borderId="30" xfId="0" applyBorder="1" applyAlignment="1">
      <alignment horizontal="center"/>
    </xf>
    <xf numFmtId="44" fontId="1" fillId="0" borderId="1" xfId="1" applyNumberFormat="1" applyFont="1" applyBorder="1" applyAlignment="1"/>
    <xf numFmtId="0" fontId="0" fillId="0" borderId="1" xfId="0" applyFont="1" applyBorder="1" applyAlignment="1"/>
    <xf numFmtId="0" fontId="15" fillId="0" borderId="0" xfId="1" applyFont="1"/>
  </cellXfs>
  <cellStyles count="2">
    <cellStyle name="Standard" xfId="0" builtinId="0"/>
    <cellStyle name="Standard 2" xfId="1"/>
  </cellStyles>
  <dxfs count="0"/>
  <tableStyles count="0" defaultTableStyle="TableStyleMedium2" defaultPivotStyle="PivotStyleLight16"/>
  <colors>
    <mruColors>
      <color rgb="FFFFCCCC"/>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F19" sqref="F19"/>
    </sheetView>
  </sheetViews>
  <sheetFormatPr baseColWidth="10" defaultColWidth="10" defaultRowHeight="14.25" x14ac:dyDescent="0.2"/>
  <cols>
    <col min="1" max="1" width="17.125" style="2" customWidth="1"/>
    <col min="2" max="5" width="10" style="2"/>
    <col min="6" max="6" width="15" style="2" customWidth="1"/>
    <col min="7" max="7" width="18.375" style="2" bestFit="1" customWidth="1"/>
    <col min="8" max="8" width="12.875" style="2" customWidth="1"/>
    <col min="9" max="9" width="11.625" style="2" bestFit="1" customWidth="1"/>
    <col min="10" max="10" width="10.625" style="2" bestFit="1" customWidth="1"/>
    <col min="11" max="11" width="14.125" style="2" bestFit="1" customWidth="1"/>
    <col min="12" max="16384" width="10" style="2"/>
  </cols>
  <sheetData>
    <row r="1" spans="1:11" ht="15" x14ac:dyDescent="0.25">
      <c r="A1" s="1" t="s">
        <v>0</v>
      </c>
    </row>
    <row r="2" spans="1:11" x14ac:dyDescent="0.2">
      <c r="A2" s="2" t="s">
        <v>1</v>
      </c>
    </row>
    <row r="4" spans="1:11" s="1" customFormat="1" ht="15" x14ac:dyDescent="0.25">
      <c r="B4" s="142" t="s">
        <v>2</v>
      </c>
      <c r="C4" s="143"/>
      <c r="D4" s="144" t="s">
        <v>3</v>
      </c>
      <c r="E4" s="143"/>
      <c r="G4" s="3"/>
      <c r="H4" s="3"/>
      <c r="I4" s="3"/>
    </row>
    <row r="5" spans="1:11" s="1" customFormat="1" ht="15" x14ac:dyDescent="0.25">
      <c r="A5" s="4" t="s">
        <v>4</v>
      </c>
      <c r="B5" s="4" t="s">
        <v>5</v>
      </c>
      <c r="C5" s="4" t="s">
        <v>6</v>
      </c>
      <c r="D5" s="4" t="s">
        <v>5</v>
      </c>
      <c r="E5" s="4" t="s">
        <v>6</v>
      </c>
      <c r="F5" s="5" t="s">
        <v>7</v>
      </c>
      <c r="G5" s="6" t="s">
        <v>8</v>
      </c>
      <c r="H5" s="6" t="s">
        <v>9</v>
      </c>
      <c r="I5" s="4" t="s">
        <v>10</v>
      </c>
      <c r="J5" s="7" t="s">
        <v>11</v>
      </c>
      <c r="K5" s="5" t="s">
        <v>12</v>
      </c>
    </row>
    <row r="6" spans="1:11" s="1" customFormat="1" ht="15" x14ac:dyDescent="0.25">
      <c r="A6" s="8"/>
      <c r="B6" s="8"/>
      <c r="C6" s="8"/>
      <c r="D6" s="8"/>
      <c r="E6" s="8"/>
      <c r="F6" s="8"/>
      <c r="G6" s="9">
        <f>0.15*65000</f>
        <v>9750</v>
      </c>
      <c r="H6" s="9"/>
      <c r="I6" s="9"/>
      <c r="J6" s="8"/>
      <c r="K6" s="10"/>
    </row>
    <row r="7" spans="1:11" x14ac:dyDescent="0.2">
      <c r="A7" s="11" t="s">
        <v>13</v>
      </c>
      <c r="B7" s="12">
        <v>1</v>
      </c>
      <c r="C7" s="12">
        <v>13</v>
      </c>
      <c r="D7" s="12">
        <v>1</v>
      </c>
      <c r="E7" s="12">
        <v>7</v>
      </c>
      <c r="F7" s="13">
        <f t="shared" ref="F7:F23" si="0">IF((C7+E7)&lt;12,1,2)</f>
        <v>2</v>
      </c>
      <c r="G7" s="14">
        <f>F7*G6</f>
        <v>19500</v>
      </c>
      <c r="H7" s="14">
        <f>G7*2</f>
        <v>39000</v>
      </c>
      <c r="I7" s="14">
        <f t="shared" ref="I7:I23" si="1">G7*5</f>
        <v>97500</v>
      </c>
      <c r="J7" s="14">
        <f t="shared" ref="J7:J23" si="2">I7*10%</f>
        <v>9750</v>
      </c>
      <c r="K7" s="15">
        <f t="shared" ref="K7:K22" si="3">I7+J7</f>
        <v>107250</v>
      </c>
    </row>
    <row r="8" spans="1:11" x14ac:dyDescent="0.2">
      <c r="A8" s="16" t="s">
        <v>14</v>
      </c>
      <c r="B8" s="17">
        <v>2</v>
      </c>
      <c r="C8" s="17">
        <v>9</v>
      </c>
      <c r="D8" s="17">
        <v>1</v>
      </c>
      <c r="E8" s="17">
        <v>8</v>
      </c>
      <c r="F8" s="18">
        <f t="shared" si="0"/>
        <v>2</v>
      </c>
      <c r="G8" s="19">
        <f>F8*G6</f>
        <v>19500</v>
      </c>
      <c r="H8" s="14">
        <f t="shared" ref="H8:H23" si="4">G8*2</f>
        <v>39000</v>
      </c>
      <c r="I8" s="19">
        <f t="shared" si="1"/>
        <v>97500</v>
      </c>
      <c r="J8" s="19">
        <f t="shared" si="2"/>
        <v>9750</v>
      </c>
      <c r="K8" s="20">
        <f t="shared" si="3"/>
        <v>107250</v>
      </c>
    </row>
    <row r="9" spans="1:11" x14ac:dyDescent="0.2">
      <c r="A9" s="21" t="s">
        <v>15</v>
      </c>
      <c r="B9" s="17">
        <v>1</v>
      </c>
      <c r="C9" s="17">
        <v>3</v>
      </c>
      <c r="D9" s="17">
        <v>0</v>
      </c>
      <c r="E9" s="17">
        <v>0</v>
      </c>
      <c r="F9" s="18">
        <f t="shared" si="0"/>
        <v>1</v>
      </c>
      <c r="G9" s="22">
        <f>F9*G6</f>
        <v>9750</v>
      </c>
      <c r="H9" s="23">
        <f t="shared" si="4"/>
        <v>19500</v>
      </c>
      <c r="I9" s="22">
        <f t="shared" si="1"/>
        <v>48750</v>
      </c>
      <c r="J9" s="22">
        <f t="shared" si="2"/>
        <v>4875</v>
      </c>
      <c r="K9" s="24">
        <f t="shared" si="3"/>
        <v>53625</v>
      </c>
    </row>
    <row r="10" spans="1:11" x14ac:dyDescent="0.2">
      <c r="A10" s="21" t="s">
        <v>16</v>
      </c>
      <c r="B10" s="17">
        <v>1</v>
      </c>
      <c r="C10" s="17">
        <v>10</v>
      </c>
      <c r="D10" s="17">
        <v>0</v>
      </c>
      <c r="E10" s="17">
        <v>0</v>
      </c>
      <c r="F10" s="18">
        <f t="shared" si="0"/>
        <v>1</v>
      </c>
      <c r="G10" s="22">
        <f>F10*G6</f>
        <v>9750</v>
      </c>
      <c r="H10" s="23">
        <f t="shared" si="4"/>
        <v>19500</v>
      </c>
      <c r="I10" s="22">
        <f t="shared" si="1"/>
        <v>48750</v>
      </c>
      <c r="J10" s="22">
        <f t="shared" si="2"/>
        <v>4875</v>
      </c>
      <c r="K10" s="24">
        <f t="shared" si="3"/>
        <v>53625</v>
      </c>
    </row>
    <row r="11" spans="1:11" x14ac:dyDescent="0.2">
      <c r="A11" s="21" t="s">
        <v>17</v>
      </c>
      <c r="B11" s="17">
        <v>1</v>
      </c>
      <c r="C11" s="17">
        <v>13</v>
      </c>
      <c r="D11" s="17">
        <v>0</v>
      </c>
      <c r="E11" s="17">
        <v>0</v>
      </c>
      <c r="F11" s="18">
        <f t="shared" si="0"/>
        <v>2</v>
      </c>
      <c r="G11" s="22">
        <f>F11*G6</f>
        <v>19500</v>
      </c>
      <c r="H11" s="23">
        <f t="shared" si="4"/>
        <v>39000</v>
      </c>
      <c r="I11" s="22">
        <f t="shared" si="1"/>
        <v>97500</v>
      </c>
      <c r="J11" s="22">
        <f t="shared" si="2"/>
        <v>9750</v>
      </c>
      <c r="K11" s="24">
        <f t="shared" si="3"/>
        <v>107250</v>
      </c>
    </row>
    <row r="12" spans="1:11" x14ac:dyDescent="0.2">
      <c r="A12" s="16" t="s">
        <v>18</v>
      </c>
      <c r="B12" s="17">
        <v>1</v>
      </c>
      <c r="C12" s="17">
        <v>15</v>
      </c>
      <c r="D12" s="17">
        <v>0</v>
      </c>
      <c r="E12" s="17">
        <v>0</v>
      </c>
      <c r="F12" s="18">
        <f t="shared" si="0"/>
        <v>2</v>
      </c>
      <c r="G12" s="19">
        <f>F12*G6</f>
        <v>19500</v>
      </c>
      <c r="H12" s="14">
        <f t="shared" si="4"/>
        <v>39000</v>
      </c>
      <c r="I12" s="19">
        <f t="shared" si="1"/>
        <v>97500</v>
      </c>
      <c r="J12" s="19">
        <f t="shared" si="2"/>
        <v>9750</v>
      </c>
      <c r="K12" s="20">
        <f t="shared" si="3"/>
        <v>107250</v>
      </c>
    </row>
    <row r="13" spans="1:11" x14ac:dyDescent="0.2">
      <c r="A13" s="21" t="s">
        <v>19</v>
      </c>
      <c r="B13" s="17">
        <v>2</v>
      </c>
      <c r="C13" s="17">
        <v>21</v>
      </c>
      <c r="D13" s="17">
        <v>0</v>
      </c>
      <c r="E13" s="17">
        <v>0</v>
      </c>
      <c r="F13" s="18">
        <f t="shared" si="0"/>
        <v>2</v>
      </c>
      <c r="G13" s="22">
        <f>F13*G6</f>
        <v>19500</v>
      </c>
      <c r="H13" s="23">
        <f t="shared" si="4"/>
        <v>39000</v>
      </c>
      <c r="I13" s="22">
        <f t="shared" si="1"/>
        <v>97500</v>
      </c>
      <c r="J13" s="22">
        <f t="shared" si="2"/>
        <v>9750</v>
      </c>
      <c r="K13" s="24">
        <f t="shared" si="3"/>
        <v>107250</v>
      </c>
    </row>
    <row r="14" spans="1:11" x14ac:dyDescent="0.2">
      <c r="A14" s="21" t="s">
        <v>20</v>
      </c>
      <c r="B14" s="17">
        <v>2</v>
      </c>
      <c r="C14" s="17">
        <v>18</v>
      </c>
      <c r="D14" s="17">
        <v>0</v>
      </c>
      <c r="E14" s="17">
        <v>0</v>
      </c>
      <c r="F14" s="18">
        <f t="shared" si="0"/>
        <v>2</v>
      </c>
      <c r="G14" s="22">
        <f>F14*G6</f>
        <v>19500</v>
      </c>
      <c r="H14" s="23">
        <f t="shared" si="4"/>
        <v>39000</v>
      </c>
      <c r="I14" s="22">
        <f t="shared" si="1"/>
        <v>97500</v>
      </c>
      <c r="J14" s="22">
        <f t="shared" si="2"/>
        <v>9750</v>
      </c>
      <c r="K14" s="24">
        <f t="shared" si="3"/>
        <v>107250</v>
      </c>
    </row>
    <row r="15" spans="1:11" x14ac:dyDescent="0.2">
      <c r="A15" s="16" t="s">
        <v>21</v>
      </c>
      <c r="B15" s="17">
        <v>1</v>
      </c>
      <c r="C15" s="17">
        <v>14</v>
      </c>
      <c r="D15" s="17">
        <v>0</v>
      </c>
      <c r="E15" s="17">
        <v>0</v>
      </c>
      <c r="F15" s="18">
        <f t="shared" si="0"/>
        <v>2</v>
      </c>
      <c r="G15" s="19">
        <f>F15*G6</f>
        <v>19500</v>
      </c>
      <c r="H15" s="14">
        <f t="shared" si="4"/>
        <v>39000</v>
      </c>
      <c r="I15" s="19">
        <f t="shared" si="1"/>
        <v>97500</v>
      </c>
      <c r="J15" s="19">
        <f t="shared" si="2"/>
        <v>9750</v>
      </c>
      <c r="K15" s="20">
        <f t="shared" si="3"/>
        <v>107250</v>
      </c>
    </row>
    <row r="16" spans="1:11" x14ac:dyDescent="0.2">
      <c r="A16" s="25" t="s">
        <v>22</v>
      </c>
      <c r="B16" s="17">
        <v>1</v>
      </c>
      <c r="C16" s="17">
        <v>7</v>
      </c>
      <c r="D16" s="17">
        <v>0</v>
      </c>
      <c r="E16" s="17">
        <v>0</v>
      </c>
      <c r="F16" s="18">
        <f t="shared" si="0"/>
        <v>1</v>
      </c>
      <c r="G16" s="19">
        <f>F16*G6</f>
        <v>9750</v>
      </c>
      <c r="H16" s="14">
        <f t="shared" si="4"/>
        <v>19500</v>
      </c>
      <c r="I16" s="19">
        <f t="shared" si="1"/>
        <v>48750</v>
      </c>
      <c r="J16" s="19">
        <f t="shared" si="2"/>
        <v>4875</v>
      </c>
      <c r="K16" s="20">
        <f t="shared" si="3"/>
        <v>53625</v>
      </c>
    </row>
    <row r="17" spans="1:11" x14ac:dyDescent="0.2">
      <c r="A17" s="16" t="s">
        <v>23</v>
      </c>
      <c r="B17" s="17">
        <v>1</v>
      </c>
      <c r="C17" s="17">
        <v>10</v>
      </c>
      <c r="D17" s="17">
        <v>0</v>
      </c>
      <c r="E17" s="17">
        <v>0</v>
      </c>
      <c r="F17" s="18">
        <f t="shared" si="0"/>
        <v>1</v>
      </c>
      <c r="G17" s="26">
        <f>F17*G6</f>
        <v>9750</v>
      </c>
      <c r="H17" s="27">
        <f t="shared" si="4"/>
        <v>19500</v>
      </c>
      <c r="I17" s="26">
        <f t="shared" si="1"/>
        <v>48750</v>
      </c>
      <c r="J17" s="26">
        <f t="shared" si="2"/>
        <v>4875</v>
      </c>
      <c r="K17" s="20">
        <f t="shared" si="3"/>
        <v>53625</v>
      </c>
    </row>
    <row r="18" spans="1:11" x14ac:dyDescent="0.2">
      <c r="A18" s="21" t="s">
        <v>24</v>
      </c>
      <c r="B18" s="17">
        <v>1</v>
      </c>
      <c r="C18" s="17">
        <v>10</v>
      </c>
      <c r="D18" s="17">
        <v>0</v>
      </c>
      <c r="E18" s="17">
        <v>0</v>
      </c>
      <c r="F18" s="18">
        <f t="shared" si="0"/>
        <v>1</v>
      </c>
      <c r="G18" s="22">
        <f>F18*G6</f>
        <v>9750</v>
      </c>
      <c r="H18" s="23">
        <f t="shared" si="4"/>
        <v>19500</v>
      </c>
      <c r="I18" s="22">
        <f t="shared" si="1"/>
        <v>48750</v>
      </c>
      <c r="J18" s="22">
        <f t="shared" si="2"/>
        <v>4875</v>
      </c>
      <c r="K18" s="24">
        <f t="shared" si="3"/>
        <v>53625</v>
      </c>
    </row>
    <row r="19" spans="1:11" x14ac:dyDescent="0.2">
      <c r="A19" s="21" t="s">
        <v>25</v>
      </c>
      <c r="B19" s="17">
        <v>0</v>
      </c>
      <c r="C19" s="17">
        <v>0</v>
      </c>
      <c r="D19" s="17">
        <v>0</v>
      </c>
      <c r="E19" s="17">
        <v>0</v>
      </c>
      <c r="F19" s="18">
        <f t="shared" si="0"/>
        <v>1</v>
      </c>
      <c r="G19" s="22">
        <f>F19*G6</f>
        <v>9750</v>
      </c>
      <c r="H19" s="23">
        <f t="shared" si="4"/>
        <v>19500</v>
      </c>
      <c r="I19" s="22">
        <f t="shared" si="1"/>
        <v>48750</v>
      </c>
      <c r="J19" s="22">
        <f t="shared" si="2"/>
        <v>4875</v>
      </c>
      <c r="K19" s="24">
        <f t="shared" si="3"/>
        <v>53625</v>
      </c>
    </row>
    <row r="20" spans="1:11" x14ac:dyDescent="0.2">
      <c r="A20" s="16" t="s">
        <v>26</v>
      </c>
      <c r="B20" s="17">
        <v>1</v>
      </c>
      <c r="C20" s="17">
        <v>8</v>
      </c>
      <c r="D20" s="17">
        <v>0</v>
      </c>
      <c r="E20" s="17">
        <v>0</v>
      </c>
      <c r="F20" s="18">
        <f t="shared" si="0"/>
        <v>1</v>
      </c>
      <c r="G20" s="19">
        <f>F20*G6</f>
        <v>9750</v>
      </c>
      <c r="H20" s="14">
        <f t="shared" si="4"/>
        <v>19500</v>
      </c>
      <c r="I20" s="19">
        <f t="shared" si="1"/>
        <v>48750</v>
      </c>
      <c r="J20" s="19">
        <f t="shared" si="2"/>
        <v>4875</v>
      </c>
      <c r="K20" s="20">
        <f t="shared" si="3"/>
        <v>53625</v>
      </c>
    </row>
    <row r="21" spans="1:11" x14ac:dyDescent="0.2">
      <c r="A21" s="21" t="s">
        <v>27</v>
      </c>
      <c r="B21" s="17">
        <v>1</v>
      </c>
      <c r="C21" s="17">
        <v>16</v>
      </c>
      <c r="D21" s="17">
        <v>0</v>
      </c>
      <c r="E21" s="17">
        <v>0</v>
      </c>
      <c r="F21" s="18">
        <f t="shared" si="0"/>
        <v>2</v>
      </c>
      <c r="G21" s="22">
        <f>F21*G6</f>
        <v>19500</v>
      </c>
      <c r="H21" s="23">
        <f t="shared" si="4"/>
        <v>39000</v>
      </c>
      <c r="I21" s="22">
        <f t="shared" si="1"/>
        <v>97500</v>
      </c>
      <c r="J21" s="22">
        <f t="shared" si="2"/>
        <v>9750</v>
      </c>
      <c r="K21" s="24">
        <f t="shared" si="3"/>
        <v>107250</v>
      </c>
    </row>
    <row r="22" spans="1:11" x14ac:dyDescent="0.2">
      <c r="A22" s="16" t="s">
        <v>28</v>
      </c>
      <c r="B22" s="17">
        <v>1</v>
      </c>
      <c r="C22" s="17">
        <v>15</v>
      </c>
      <c r="D22" s="17">
        <v>1</v>
      </c>
      <c r="E22" s="17">
        <v>4</v>
      </c>
      <c r="F22" s="18">
        <f t="shared" si="0"/>
        <v>2</v>
      </c>
      <c r="G22" s="19">
        <f>F22*G6</f>
        <v>19500</v>
      </c>
      <c r="H22" s="14">
        <f t="shared" si="4"/>
        <v>39000</v>
      </c>
      <c r="I22" s="19">
        <f t="shared" si="1"/>
        <v>97500</v>
      </c>
      <c r="J22" s="19">
        <f t="shared" si="2"/>
        <v>9750</v>
      </c>
      <c r="K22" s="20">
        <f t="shared" si="3"/>
        <v>107250</v>
      </c>
    </row>
    <row r="23" spans="1:11" x14ac:dyDescent="0.2">
      <c r="A23" s="28" t="s">
        <v>29</v>
      </c>
      <c r="B23" s="29">
        <v>1</v>
      </c>
      <c r="C23" s="29">
        <v>10</v>
      </c>
      <c r="D23" s="29">
        <v>0</v>
      </c>
      <c r="E23" s="29">
        <v>0</v>
      </c>
      <c r="F23" s="30">
        <f t="shared" si="0"/>
        <v>1</v>
      </c>
      <c r="G23" s="31">
        <f>F23*G6</f>
        <v>9750</v>
      </c>
      <c r="H23" s="32">
        <f t="shared" si="4"/>
        <v>19500</v>
      </c>
      <c r="I23" s="31">
        <f t="shared" si="1"/>
        <v>48750</v>
      </c>
      <c r="J23" s="31">
        <f t="shared" si="2"/>
        <v>4875</v>
      </c>
      <c r="K23" s="24">
        <f>I23+J23</f>
        <v>53625</v>
      </c>
    </row>
    <row r="24" spans="1:11" ht="15" x14ac:dyDescent="0.25">
      <c r="A24" s="33"/>
      <c r="B24" s="34">
        <f>SUM(B7:B23)</f>
        <v>19</v>
      </c>
      <c r="C24" s="34">
        <f>SUM(C7:C23)</f>
        <v>192</v>
      </c>
      <c r="D24" s="34"/>
      <c r="E24" s="34"/>
      <c r="F24" s="35"/>
      <c r="G24" s="36"/>
      <c r="H24" s="37">
        <f>H22+H20+H17+H16+H15+H12+H8+H7</f>
        <v>253500</v>
      </c>
      <c r="I24" s="36"/>
      <c r="J24" s="36"/>
      <c r="K24" s="37">
        <f>K22+K20+K17+K16+K15+K12+K8+K7</f>
        <v>697125</v>
      </c>
    </row>
    <row r="25" spans="1:11" ht="15" x14ac:dyDescent="0.25">
      <c r="A25" s="33"/>
      <c r="B25" s="34"/>
      <c r="C25" s="34"/>
      <c r="D25" s="34"/>
      <c r="E25" s="34"/>
      <c r="F25" s="35"/>
      <c r="G25" s="36"/>
      <c r="H25" s="36"/>
      <c r="I25" s="36"/>
      <c r="J25" s="36"/>
      <c r="K25" s="38"/>
    </row>
    <row r="26" spans="1:11" x14ac:dyDescent="0.2">
      <c r="A26" s="2" t="s">
        <v>30</v>
      </c>
    </row>
    <row r="27" spans="1:11" x14ac:dyDescent="0.2">
      <c r="A27" s="2" t="s">
        <v>31</v>
      </c>
    </row>
    <row r="28" spans="1:11" ht="15" x14ac:dyDescent="0.25">
      <c r="A28" s="2" t="s">
        <v>32</v>
      </c>
    </row>
    <row r="29" spans="1:11" x14ac:dyDescent="0.2">
      <c r="A29" s="2" t="s">
        <v>33</v>
      </c>
    </row>
    <row r="30" spans="1:11" x14ac:dyDescent="0.2">
      <c r="A30" s="2" t="s">
        <v>34</v>
      </c>
    </row>
    <row r="31" spans="1:11" x14ac:dyDescent="0.2">
      <c r="A31" s="39" t="s">
        <v>35</v>
      </c>
    </row>
  </sheetData>
  <mergeCells count="2">
    <mergeCell ref="B4:C4"/>
    <mergeCell ref="D4:E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abSelected="1" topLeftCell="A10" zoomScaleNormal="100" workbookViewId="0">
      <selection activeCell="F38" sqref="F38"/>
    </sheetView>
  </sheetViews>
  <sheetFormatPr baseColWidth="10" defaultColWidth="10" defaultRowHeight="14.25" x14ac:dyDescent="0.2"/>
  <cols>
    <col min="1" max="1" width="17.125" style="2" customWidth="1"/>
    <col min="2" max="5" width="7.625" style="2" customWidth="1"/>
    <col min="6" max="6" width="8.625" style="2" customWidth="1"/>
    <col min="7" max="7" width="18.375" style="2" bestFit="1" customWidth="1"/>
    <col min="8" max="9" width="12.625" style="2" customWidth="1"/>
    <col min="10" max="10" width="8.625" style="2" customWidth="1"/>
    <col min="11" max="11" width="18.375" style="2" bestFit="1" customWidth="1"/>
    <col min="12" max="12" width="13.125" style="2" hidden="1" customWidth="1"/>
    <col min="13" max="14" width="13.125" style="2" customWidth="1"/>
    <col min="15" max="15" width="14.5" style="2" bestFit="1" customWidth="1"/>
    <col min="16" max="17" width="12.625" style="2" bestFit="1" customWidth="1"/>
    <col min="18" max="16384" width="10" style="2"/>
  </cols>
  <sheetData>
    <row r="1" spans="1:17" ht="15" x14ac:dyDescent="0.25">
      <c r="A1" s="70" t="s">
        <v>48</v>
      </c>
    </row>
    <row r="3" spans="1:17" ht="18" x14ac:dyDescent="0.25">
      <c r="A3" s="52" t="s">
        <v>49</v>
      </c>
    </row>
    <row r="4" spans="1:17" ht="18.75" thickBot="1" x14ac:dyDescent="0.3">
      <c r="A4" s="52"/>
    </row>
    <row r="5" spans="1:17" s="1" customFormat="1" ht="30.75" customHeight="1" x14ac:dyDescent="0.25">
      <c r="A5" s="164" t="s">
        <v>39</v>
      </c>
      <c r="B5" s="156" t="s">
        <v>59</v>
      </c>
      <c r="C5" s="157"/>
      <c r="D5" s="158" t="s">
        <v>60</v>
      </c>
      <c r="E5" s="159"/>
      <c r="F5" s="166" t="s">
        <v>67</v>
      </c>
      <c r="G5" s="167"/>
      <c r="H5" s="167"/>
      <c r="I5" s="168"/>
      <c r="J5" s="171" t="s">
        <v>68</v>
      </c>
      <c r="K5" s="172"/>
      <c r="L5" s="172"/>
      <c r="M5" s="172"/>
      <c r="N5" s="172"/>
      <c r="O5" s="172"/>
      <c r="P5" s="169" t="s">
        <v>63</v>
      </c>
      <c r="Q5" s="170"/>
    </row>
    <row r="6" spans="1:17" s="1" customFormat="1" ht="15" x14ac:dyDescent="0.25">
      <c r="A6" s="165"/>
      <c r="B6" s="65" t="s">
        <v>57</v>
      </c>
      <c r="C6" s="65" t="s">
        <v>58</v>
      </c>
      <c r="D6" s="4" t="s">
        <v>57</v>
      </c>
      <c r="E6" s="74" t="s">
        <v>58</v>
      </c>
      <c r="F6" s="71" t="s">
        <v>50</v>
      </c>
      <c r="G6" s="4" t="s">
        <v>8</v>
      </c>
      <c r="H6" s="4" t="s">
        <v>51</v>
      </c>
      <c r="I6" s="108" t="s">
        <v>54</v>
      </c>
      <c r="J6" s="90" t="s">
        <v>50</v>
      </c>
      <c r="K6" s="6" t="s">
        <v>8</v>
      </c>
      <c r="L6" s="6" t="s">
        <v>51</v>
      </c>
      <c r="M6" s="4" t="s">
        <v>10</v>
      </c>
      <c r="N6" s="7" t="s">
        <v>55</v>
      </c>
      <c r="O6" s="102" t="s">
        <v>54</v>
      </c>
      <c r="P6" s="103">
        <v>2024</v>
      </c>
      <c r="Q6" s="74" t="s">
        <v>45</v>
      </c>
    </row>
    <row r="7" spans="1:17" s="1" customFormat="1" ht="51.75" x14ac:dyDescent="0.25">
      <c r="A7" s="75"/>
      <c r="B7" s="8"/>
      <c r="C7" s="8"/>
      <c r="D7" s="8"/>
      <c r="E7" s="76"/>
      <c r="F7" s="8"/>
      <c r="G7" s="9">
        <f>0.15*65000</f>
        <v>9750</v>
      </c>
      <c r="H7" s="8"/>
      <c r="I7" s="76"/>
      <c r="J7" s="75"/>
      <c r="K7" s="9">
        <f>0.15*65000</f>
        <v>9750</v>
      </c>
      <c r="L7" s="9"/>
      <c r="M7" s="9"/>
      <c r="N7" s="8"/>
      <c r="O7" s="61"/>
      <c r="P7" s="141" t="s">
        <v>69</v>
      </c>
      <c r="Q7" s="76" t="s">
        <v>70</v>
      </c>
    </row>
    <row r="8" spans="1:17" x14ac:dyDescent="0.2">
      <c r="A8" s="77" t="s">
        <v>13</v>
      </c>
      <c r="B8" s="41">
        <v>1</v>
      </c>
      <c r="C8" s="12">
        <v>13</v>
      </c>
      <c r="D8" s="12">
        <v>1</v>
      </c>
      <c r="E8" s="78">
        <v>6</v>
      </c>
      <c r="F8" s="72">
        <f>IF((C8+E8)=0,"0",VLOOKUP((C8+E8),Hilfstabelle!A38:B73,2))</f>
        <v>1</v>
      </c>
      <c r="G8" s="121">
        <f>F8*G7</f>
        <v>9750</v>
      </c>
      <c r="H8" s="121">
        <f>G8*2</f>
        <v>19500</v>
      </c>
      <c r="I8" s="125">
        <f>(H8/12*8)</f>
        <v>13000</v>
      </c>
      <c r="J8" s="91">
        <f>IF((C8+E8)=0,"0",VLOOKUP((C8+E8),Hilfstabelle!A2:B37,2,))</f>
        <v>2</v>
      </c>
      <c r="K8" s="48">
        <f>J8*K7</f>
        <v>19500</v>
      </c>
      <c r="L8" s="14">
        <f>K8*2</f>
        <v>39000</v>
      </c>
      <c r="M8" s="44">
        <f t="shared" ref="M8:M23" si="0">K8*5</f>
        <v>97500</v>
      </c>
      <c r="N8" s="14">
        <f>M8+(M8*10%)</f>
        <v>107250</v>
      </c>
      <c r="O8" s="63">
        <f>(N8/12)*4</f>
        <v>35750</v>
      </c>
      <c r="P8" s="104">
        <f>I8+O8</f>
        <v>48750</v>
      </c>
      <c r="Q8" s="92">
        <f>N8</f>
        <v>107250</v>
      </c>
    </row>
    <row r="9" spans="1:17" x14ac:dyDescent="0.2">
      <c r="A9" s="79" t="s">
        <v>14</v>
      </c>
      <c r="B9" s="17">
        <v>2</v>
      </c>
      <c r="C9" s="17">
        <v>18</v>
      </c>
      <c r="D9" s="17">
        <v>1</v>
      </c>
      <c r="E9" s="80">
        <v>8</v>
      </c>
      <c r="F9" s="73">
        <f>IF((C9+E9)=0,"0",VLOOKUP((C9+E9),Hilfstabelle!A38:B73,2))</f>
        <v>2</v>
      </c>
      <c r="G9" s="122">
        <f>F9*G7</f>
        <v>19500</v>
      </c>
      <c r="H9" s="122">
        <f>G9*2</f>
        <v>39000</v>
      </c>
      <c r="I9" s="126">
        <f>(H9/12)*8</f>
        <v>26000</v>
      </c>
      <c r="J9" s="93">
        <f>IF((C9+E9)=0,"0",VLOOKUP((C9+E9),Hilfstabelle!A2:B37,2,))</f>
        <v>3</v>
      </c>
      <c r="K9" s="49">
        <f>J9*K7</f>
        <v>29250</v>
      </c>
      <c r="L9" s="19">
        <f t="shared" ref="L9:L23" si="1">K9*2</f>
        <v>58500</v>
      </c>
      <c r="M9" s="45">
        <f t="shared" si="0"/>
        <v>146250</v>
      </c>
      <c r="N9" s="19">
        <f>M9+(M9*10%)</f>
        <v>160875</v>
      </c>
      <c r="O9" s="64">
        <f>(N9/12)*4</f>
        <v>53625</v>
      </c>
      <c r="P9" s="105">
        <f>I9+O9</f>
        <v>79625</v>
      </c>
      <c r="Q9" s="94">
        <f>N9</f>
        <v>160875</v>
      </c>
    </row>
    <row r="10" spans="1:17" s="119" customFormat="1" x14ac:dyDescent="0.2">
      <c r="A10" s="109" t="s">
        <v>15</v>
      </c>
      <c r="B10" s="110">
        <v>1</v>
      </c>
      <c r="C10" s="110">
        <v>5</v>
      </c>
      <c r="D10" s="110">
        <v>0</v>
      </c>
      <c r="E10" s="111">
        <v>0</v>
      </c>
      <c r="F10" s="130">
        <f>IF((C10+E10)=0,"0",VLOOKUP((C10+E10),Hilfstabelle!A38:B73,2))</f>
        <v>1</v>
      </c>
      <c r="G10" s="123">
        <f>F10*G7</f>
        <v>9750</v>
      </c>
      <c r="H10" s="123">
        <f>G10*2</f>
        <v>19500</v>
      </c>
      <c r="I10" s="127">
        <f t="shared" ref="I10:I23" si="2">(H10/12)*8</f>
        <v>13000</v>
      </c>
      <c r="J10" s="112">
        <f>IF((C10+E10)=0,"0",VLOOKUP((C10+E10),Hilfstabelle!A2:B37,2,))</f>
        <v>1</v>
      </c>
      <c r="K10" s="113">
        <f>J10*K7</f>
        <v>9750</v>
      </c>
      <c r="L10" s="114">
        <f t="shared" si="1"/>
        <v>19500</v>
      </c>
      <c r="M10" s="115">
        <f t="shared" si="0"/>
        <v>48750</v>
      </c>
      <c r="N10" s="114">
        <f t="shared" ref="N10:N23" si="3">M10+(M10*10%)</f>
        <v>53625</v>
      </c>
      <c r="O10" s="116">
        <f t="shared" ref="O10:O23" si="4">(N10/12)*4</f>
        <v>17875</v>
      </c>
      <c r="P10" s="117">
        <f>I10+O10</f>
        <v>30875</v>
      </c>
      <c r="Q10" s="118">
        <f t="shared" ref="Q10:Q23" si="5">N10</f>
        <v>53625</v>
      </c>
    </row>
    <row r="11" spans="1:17" s="119" customFormat="1" x14ac:dyDescent="0.2">
      <c r="A11" s="109" t="s">
        <v>16</v>
      </c>
      <c r="B11" s="110">
        <v>1</v>
      </c>
      <c r="C11" s="110">
        <v>10</v>
      </c>
      <c r="D11" s="110">
        <v>0</v>
      </c>
      <c r="E11" s="111">
        <v>0</v>
      </c>
      <c r="F11" s="130">
        <f>IF((C11+E11)=0,"0",VLOOKUP((C11+E11),Hilfstabelle!A38:B73,2))</f>
        <v>1</v>
      </c>
      <c r="G11" s="123">
        <f>F11*G7</f>
        <v>9750</v>
      </c>
      <c r="H11" s="123">
        <f t="shared" ref="H11:H23" si="6">G11*2</f>
        <v>19500</v>
      </c>
      <c r="I11" s="127">
        <f t="shared" si="2"/>
        <v>13000</v>
      </c>
      <c r="J11" s="112">
        <f>IF((C11+E11)=0,"0",VLOOKUP((C11+E11),Hilfstabelle!A2:B37,2,))</f>
        <v>1</v>
      </c>
      <c r="K11" s="113">
        <f>J11*K7</f>
        <v>9750</v>
      </c>
      <c r="L11" s="114">
        <f t="shared" si="1"/>
        <v>19500</v>
      </c>
      <c r="M11" s="115">
        <f t="shared" si="0"/>
        <v>48750</v>
      </c>
      <c r="N11" s="114">
        <f t="shared" si="3"/>
        <v>53625</v>
      </c>
      <c r="O11" s="116">
        <f t="shared" si="4"/>
        <v>17875</v>
      </c>
      <c r="P11" s="117">
        <f t="shared" ref="P11:P23" si="7">I11+O11</f>
        <v>30875</v>
      </c>
      <c r="Q11" s="118">
        <f t="shared" si="5"/>
        <v>53625</v>
      </c>
    </row>
    <row r="12" spans="1:17" s="119" customFormat="1" x14ac:dyDescent="0.2">
      <c r="A12" s="109" t="s">
        <v>17</v>
      </c>
      <c r="B12" s="110">
        <v>1</v>
      </c>
      <c r="C12" s="110">
        <v>8</v>
      </c>
      <c r="D12" s="110">
        <v>0</v>
      </c>
      <c r="E12" s="111">
        <v>0</v>
      </c>
      <c r="F12" s="130">
        <f>IF((C12+E12)=0,"0",VLOOKUP((C12+E12),Hilfstabelle!A38:B73,2))</f>
        <v>1</v>
      </c>
      <c r="G12" s="123">
        <f>F12*G7</f>
        <v>9750</v>
      </c>
      <c r="H12" s="123">
        <f t="shared" si="6"/>
        <v>19500</v>
      </c>
      <c r="I12" s="127">
        <f t="shared" si="2"/>
        <v>13000</v>
      </c>
      <c r="J12" s="112">
        <f>IF((C12+E12)=0,"0",VLOOKUP((C12+E12),Hilfstabelle!A2:B37,2,))</f>
        <v>1</v>
      </c>
      <c r="K12" s="113">
        <f>J12*K7</f>
        <v>9750</v>
      </c>
      <c r="L12" s="114">
        <f t="shared" si="1"/>
        <v>19500</v>
      </c>
      <c r="M12" s="115">
        <f t="shared" si="0"/>
        <v>48750</v>
      </c>
      <c r="N12" s="114">
        <f t="shared" si="3"/>
        <v>53625</v>
      </c>
      <c r="O12" s="116">
        <f t="shared" si="4"/>
        <v>17875</v>
      </c>
      <c r="P12" s="117">
        <f t="shared" si="7"/>
        <v>30875</v>
      </c>
      <c r="Q12" s="118">
        <f t="shared" si="5"/>
        <v>53625</v>
      </c>
    </row>
    <row r="13" spans="1:17" x14ac:dyDescent="0.2">
      <c r="A13" s="79" t="s">
        <v>18</v>
      </c>
      <c r="B13" s="17">
        <v>1</v>
      </c>
      <c r="C13" s="17">
        <v>14</v>
      </c>
      <c r="D13" s="17">
        <v>0</v>
      </c>
      <c r="E13" s="80">
        <v>0</v>
      </c>
      <c r="F13" s="73">
        <f>IF((C13+E13)=0,"0",VLOOKUP((C13+E13),Hilfstabelle!A38:B73,2))</f>
        <v>1</v>
      </c>
      <c r="G13" s="122">
        <f>F13*G7</f>
        <v>9750</v>
      </c>
      <c r="H13" s="122">
        <f t="shared" si="6"/>
        <v>19500</v>
      </c>
      <c r="I13" s="126">
        <f t="shared" si="2"/>
        <v>13000</v>
      </c>
      <c r="J13" s="93">
        <f>IF((C13+E13)=0,"0",VLOOKUP((C13+E13),Hilfstabelle!A2:B37,2,))</f>
        <v>2</v>
      </c>
      <c r="K13" s="49">
        <f>J13*K7</f>
        <v>19500</v>
      </c>
      <c r="L13" s="19">
        <f t="shared" si="1"/>
        <v>39000</v>
      </c>
      <c r="M13" s="45">
        <f t="shared" si="0"/>
        <v>97500</v>
      </c>
      <c r="N13" s="19">
        <f t="shared" si="3"/>
        <v>107250</v>
      </c>
      <c r="O13" s="64">
        <f t="shared" si="4"/>
        <v>35750</v>
      </c>
      <c r="P13" s="105">
        <f t="shared" si="7"/>
        <v>48750</v>
      </c>
      <c r="Q13" s="94">
        <f t="shared" si="5"/>
        <v>107250</v>
      </c>
    </row>
    <row r="14" spans="1:17" s="119" customFormat="1" x14ac:dyDescent="0.2">
      <c r="A14" s="109" t="s">
        <v>19</v>
      </c>
      <c r="B14" s="110">
        <v>2</v>
      </c>
      <c r="C14" s="110">
        <v>28</v>
      </c>
      <c r="D14" s="110">
        <v>0</v>
      </c>
      <c r="E14" s="111">
        <v>0</v>
      </c>
      <c r="F14" s="130">
        <f>IF((C14+E14)=0,"0",VLOOKUP((C14+E14),Hilfstabelle!A38:B73,2))</f>
        <v>2</v>
      </c>
      <c r="G14" s="123">
        <f>F14*G7</f>
        <v>19500</v>
      </c>
      <c r="H14" s="123">
        <f t="shared" si="6"/>
        <v>39000</v>
      </c>
      <c r="I14" s="127">
        <f t="shared" si="2"/>
        <v>26000</v>
      </c>
      <c r="J14" s="112">
        <f>IF((C14+E14)=0,"0",VLOOKUP((C14+E14),Hilfstabelle!A2:B37,2,))</f>
        <v>3</v>
      </c>
      <c r="K14" s="113">
        <f>J14*K7</f>
        <v>29250</v>
      </c>
      <c r="L14" s="114">
        <f t="shared" si="1"/>
        <v>58500</v>
      </c>
      <c r="M14" s="115">
        <f t="shared" si="0"/>
        <v>146250</v>
      </c>
      <c r="N14" s="114">
        <f t="shared" si="3"/>
        <v>160875</v>
      </c>
      <c r="O14" s="116">
        <f t="shared" si="4"/>
        <v>53625</v>
      </c>
      <c r="P14" s="117">
        <f t="shared" si="7"/>
        <v>79625</v>
      </c>
      <c r="Q14" s="118">
        <f t="shared" si="5"/>
        <v>160875</v>
      </c>
    </row>
    <row r="15" spans="1:17" s="119" customFormat="1" x14ac:dyDescent="0.2">
      <c r="A15" s="109" t="s">
        <v>20</v>
      </c>
      <c r="B15" s="110">
        <v>2</v>
      </c>
      <c r="C15" s="110">
        <v>17</v>
      </c>
      <c r="D15" s="110">
        <v>0</v>
      </c>
      <c r="E15" s="111">
        <v>0</v>
      </c>
      <c r="F15" s="130">
        <f>IF((C15+E15)=0,"0",VLOOKUP((C15+E15),Hilfstabelle!A38:B73,2))</f>
        <v>1</v>
      </c>
      <c r="G15" s="123">
        <f>F15*G7</f>
        <v>9750</v>
      </c>
      <c r="H15" s="123">
        <f t="shared" si="6"/>
        <v>19500</v>
      </c>
      <c r="I15" s="127">
        <f t="shared" si="2"/>
        <v>13000</v>
      </c>
      <c r="J15" s="112">
        <f>IF((C15+E15)=0,"0",VLOOKUP((C15+E15),Hilfstabelle!A2:B37,2,))</f>
        <v>2</v>
      </c>
      <c r="K15" s="113">
        <f>J15*K7</f>
        <v>19500</v>
      </c>
      <c r="L15" s="114">
        <f t="shared" si="1"/>
        <v>39000</v>
      </c>
      <c r="M15" s="115">
        <f t="shared" si="0"/>
        <v>97500</v>
      </c>
      <c r="N15" s="114">
        <f t="shared" si="3"/>
        <v>107250</v>
      </c>
      <c r="O15" s="116">
        <f t="shared" si="4"/>
        <v>35750</v>
      </c>
      <c r="P15" s="117">
        <f t="shared" si="7"/>
        <v>48750</v>
      </c>
      <c r="Q15" s="118">
        <f t="shared" si="5"/>
        <v>107250</v>
      </c>
    </row>
    <row r="16" spans="1:17" x14ac:dyDescent="0.2">
      <c r="A16" s="79" t="s">
        <v>21</v>
      </c>
      <c r="B16" s="17">
        <v>1</v>
      </c>
      <c r="C16" s="17">
        <v>11</v>
      </c>
      <c r="D16" s="17">
        <v>0</v>
      </c>
      <c r="E16" s="80">
        <v>0</v>
      </c>
      <c r="F16" s="73">
        <f>IF((C16+E16)=0,"0",VLOOKUP((C16+E16),Hilfstabelle!A38:B73,2))</f>
        <v>1</v>
      </c>
      <c r="G16" s="122">
        <f>F16*G7</f>
        <v>9750</v>
      </c>
      <c r="H16" s="122">
        <f t="shared" si="6"/>
        <v>19500</v>
      </c>
      <c r="I16" s="126">
        <f t="shared" si="2"/>
        <v>13000</v>
      </c>
      <c r="J16" s="93">
        <f>IF((C16+E16)=0,"0",VLOOKUP((C16+E16),Hilfstabelle!A2:B37,2,))</f>
        <v>1</v>
      </c>
      <c r="K16" s="49">
        <f>J16*K7</f>
        <v>9750</v>
      </c>
      <c r="L16" s="19">
        <f t="shared" si="1"/>
        <v>19500</v>
      </c>
      <c r="M16" s="45">
        <f t="shared" si="0"/>
        <v>48750</v>
      </c>
      <c r="N16" s="19">
        <f t="shared" si="3"/>
        <v>53625</v>
      </c>
      <c r="O16" s="64">
        <f t="shared" si="4"/>
        <v>17875</v>
      </c>
      <c r="P16" s="105">
        <f t="shared" si="7"/>
        <v>30875</v>
      </c>
      <c r="Q16" s="94">
        <f t="shared" si="5"/>
        <v>53625</v>
      </c>
    </row>
    <row r="17" spans="1:17" x14ac:dyDescent="0.2">
      <c r="A17" s="81" t="s">
        <v>22</v>
      </c>
      <c r="B17" s="17">
        <v>1</v>
      </c>
      <c r="C17" s="17">
        <v>8</v>
      </c>
      <c r="D17" s="17">
        <v>0</v>
      </c>
      <c r="E17" s="80">
        <v>0</v>
      </c>
      <c r="F17" s="73">
        <f>IF((C17+E17)=0,"0",VLOOKUP((C17+E17),Hilfstabelle!A38:B73,2))</f>
        <v>1</v>
      </c>
      <c r="G17" s="122">
        <f>F17*G7</f>
        <v>9750</v>
      </c>
      <c r="H17" s="122">
        <f t="shared" si="6"/>
        <v>19500</v>
      </c>
      <c r="I17" s="126">
        <f t="shared" si="2"/>
        <v>13000</v>
      </c>
      <c r="J17" s="93">
        <f>IF((C17+E17)=0,"0",VLOOKUP((C17+E17),Hilfstabelle!A2:B37,2,))</f>
        <v>1</v>
      </c>
      <c r="K17" s="49">
        <f>J17*K7</f>
        <v>9750</v>
      </c>
      <c r="L17" s="19">
        <f t="shared" si="1"/>
        <v>19500</v>
      </c>
      <c r="M17" s="45">
        <f t="shared" si="0"/>
        <v>48750</v>
      </c>
      <c r="N17" s="19">
        <f t="shared" si="3"/>
        <v>53625</v>
      </c>
      <c r="O17" s="64">
        <f t="shared" si="4"/>
        <v>17875</v>
      </c>
      <c r="P17" s="105">
        <f t="shared" si="7"/>
        <v>30875</v>
      </c>
      <c r="Q17" s="94">
        <f t="shared" si="5"/>
        <v>53625</v>
      </c>
    </row>
    <row r="18" spans="1:17" x14ac:dyDescent="0.2">
      <c r="A18" s="79" t="s">
        <v>23</v>
      </c>
      <c r="B18" s="17">
        <v>1</v>
      </c>
      <c r="C18" s="17">
        <v>8</v>
      </c>
      <c r="D18" s="17">
        <v>0</v>
      </c>
      <c r="E18" s="80">
        <v>0</v>
      </c>
      <c r="F18" s="73">
        <f>IF((C18+E18)=0,"0",VLOOKUP((C18+E18),Hilfstabelle!A38:B73,2))</f>
        <v>1</v>
      </c>
      <c r="G18" s="122">
        <f>F18*G7</f>
        <v>9750</v>
      </c>
      <c r="H18" s="122">
        <f t="shared" si="6"/>
        <v>19500</v>
      </c>
      <c r="I18" s="126">
        <f t="shared" si="2"/>
        <v>13000</v>
      </c>
      <c r="J18" s="93">
        <f>IF((C18+E18)=0,"0",VLOOKUP((C18+E18),Hilfstabelle!A2:B37,2,))</f>
        <v>1</v>
      </c>
      <c r="K18" s="50">
        <f>J18*K7</f>
        <v>9750</v>
      </c>
      <c r="L18" s="26">
        <f t="shared" si="1"/>
        <v>19500</v>
      </c>
      <c r="M18" s="46">
        <f t="shared" si="0"/>
        <v>48750</v>
      </c>
      <c r="N18" s="19">
        <f t="shared" si="3"/>
        <v>53625</v>
      </c>
      <c r="O18" s="64">
        <f t="shared" si="4"/>
        <v>17875</v>
      </c>
      <c r="P18" s="105">
        <f t="shared" si="7"/>
        <v>30875</v>
      </c>
      <c r="Q18" s="94">
        <f t="shared" si="5"/>
        <v>53625</v>
      </c>
    </row>
    <row r="19" spans="1:17" s="119" customFormat="1" x14ac:dyDescent="0.2">
      <c r="A19" s="109" t="s">
        <v>24</v>
      </c>
      <c r="B19" s="110">
        <v>1</v>
      </c>
      <c r="C19" s="110">
        <v>12</v>
      </c>
      <c r="D19" s="110">
        <v>0</v>
      </c>
      <c r="E19" s="111">
        <v>0</v>
      </c>
      <c r="F19" s="130">
        <f>IF((C19+E19)=0,"0",VLOOKUP((C19+E19),Hilfstabelle!A38:B73,2))</f>
        <v>1</v>
      </c>
      <c r="G19" s="123">
        <f>F19*G7</f>
        <v>9750</v>
      </c>
      <c r="H19" s="123">
        <f t="shared" si="6"/>
        <v>19500</v>
      </c>
      <c r="I19" s="127">
        <f t="shared" si="2"/>
        <v>13000</v>
      </c>
      <c r="J19" s="112">
        <f>IF((C19+E19)=0,"0",VLOOKUP((C19+E19),Hilfstabelle!A2:B37,2,))</f>
        <v>1</v>
      </c>
      <c r="K19" s="113">
        <f>J19*K7</f>
        <v>9750</v>
      </c>
      <c r="L19" s="114">
        <f t="shared" si="1"/>
        <v>19500</v>
      </c>
      <c r="M19" s="115">
        <f t="shared" si="0"/>
        <v>48750</v>
      </c>
      <c r="N19" s="114">
        <f t="shared" si="3"/>
        <v>53625</v>
      </c>
      <c r="O19" s="116">
        <f t="shared" si="4"/>
        <v>17875</v>
      </c>
      <c r="P19" s="117">
        <f t="shared" si="7"/>
        <v>30875</v>
      </c>
      <c r="Q19" s="118">
        <f t="shared" si="5"/>
        <v>53625</v>
      </c>
    </row>
    <row r="20" spans="1:17" s="119" customFormat="1" x14ac:dyDescent="0.2">
      <c r="A20" s="109" t="s">
        <v>25</v>
      </c>
      <c r="B20" s="110">
        <v>0</v>
      </c>
      <c r="C20" s="110">
        <v>0</v>
      </c>
      <c r="D20" s="110">
        <v>0</v>
      </c>
      <c r="E20" s="111">
        <v>0</v>
      </c>
      <c r="F20" s="130" t="str">
        <f>IF((C20+E20)=0,"0",VLOOKUP((C20+E20),Hilfstabelle!A38:B73,2))</f>
        <v>0</v>
      </c>
      <c r="G20" s="123">
        <f>F20*G7</f>
        <v>0</v>
      </c>
      <c r="H20" s="123">
        <f t="shared" si="6"/>
        <v>0</v>
      </c>
      <c r="I20" s="127">
        <f t="shared" si="2"/>
        <v>0</v>
      </c>
      <c r="J20" s="112" t="str">
        <f>IF((C20+E20)=0,"0",VLOOKUP((C20+E20),Hilfstabelle!A2:B37,2,))</f>
        <v>0</v>
      </c>
      <c r="K20" s="113">
        <f>J20*K7</f>
        <v>0</v>
      </c>
      <c r="L20" s="114">
        <f t="shared" si="1"/>
        <v>0</v>
      </c>
      <c r="M20" s="115">
        <f t="shared" si="0"/>
        <v>0</v>
      </c>
      <c r="N20" s="114">
        <f t="shared" si="3"/>
        <v>0</v>
      </c>
      <c r="O20" s="116">
        <f t="shared" si="4"/>
        <v>0</v>
      </c>
      <c r="P20" s="117">
        <f t="shared" si="7"/>
        <v>0</v>
      </c>
      <c r="Q20" s="118">
        <f t="shared" si="5"/>
        <v>0</v>
      </c>
    </row>
    <row r="21" spans="1:17" x14ac:dyDescent="0.2">
      <c r="A21" s="79" t="s">
        <v>26</v>
      </c>
      <c r="B21" s="17">
        <v>1</v>
      </c>
      <c r="C21" s="17">
        <v>10</v>
      </c>
      <c r="D21" s="17">
        <v>0</v>
      </c>
      <c r="E21" s="80">
        <v>0</v>
      </c>
      <c r="F21" s="73">
        <f>IF((C21+E21)=0,"0",VLOOKUP((C21+E21),Hilfstabelle!A38:B73,2))</f>
        <v>1</v>
      </c>
      <c r="G21" s="122">
        <f>F21*G7</f>
        <v>9750</v>
      </c>
      <c r="H21" s="122">
        <f t="shared" si="6"/>
        <v>19500</v>
      </c>
      <c r="I21" s="126">
        <f t="shared" si="2"/>
        <v>13000</v>
      </c>
      <c r="J21" s="93">
        <f>IF((C21+E21)=0,"0",VLOOKUP((C21+E21),Hilfstabelle!A2:B37,2,))</f>
        <v>1</v>
      </c>
      <c r="K21" s="49">
        <f>J21*K7</f>
        <v>9750</v>
      </c>
      <c r="L21" s="19">
        <f t="shared" si="1"/>
        <v>19500</v>
      </c>
      <c r="M21" s="45">
        <f t="shared" si="0"/>
        <v>48750</v>
      </c>
      <c r="N21" s="19">
        <f t="shared" si="3"/>
        <v>53625</v>
      </c>
      <c r="O21" s="64">
        <f t="shared" si="4"/>
        <v>17875</v>
      </c>
      <c r="P21" s="105">
        <f t="shared" si="7"/>
        <v>30875</v>
      </c>
      <c r="Q21" s="94">
        <f t="shared" si="5"/>
        <v>53625</v>
      </c>
    </row>
    <row r="22" spans="1:17" s="119" customFormat="1" x14ac:dyDescent="0.2">
      <c r="A22" s="109" t="s">
        <v>27</v>
      </c>
      <c r="B22" s="110">
        <v>1</v>
      </c>
      <c r="C22" s="110">
        <v>14</v>
      </c>
      <c r="D22" s="110">
        <v>0</v>
      </c>
      <c r="E22" s="111">
        <v>0</v>
      </c>
      <c r="F22" s="130">
        <f>IF((C22+E22)=0,"0",VLOOKUP((C22+E22),Hilfstabelle!A38:B73,2))</f>
        <v>1</v>
      </c>
      <c r="G22" s="123">
        <f>F22*G7</f>
        <v>9750</v>
      </c>
      <c r="H22" s="123">
        <f t="shared" si="6"/>
        <v>19500</v>
      </c>
      <c r="I22" s="127">
        <f t="shared" si="2"/>
        <v>13000</v>
      </c>
      <c r="J22" s="112">
        <f>IF((C22+E22)=0,"0",VLOOKUP((C22+E22),Hilfstabelle!A2:B37,2,))</f>
        <v>2</v>
      </c>
      <c r="K22" s="113">
        <f>J22*K7</f>
        <v>19500</v>
      </c>
      <c r="L22" s="114">
        <f t="shared" si="1"/>
        <v>39000</v>
      </c>
      <c r="M22" s="115">
        <f t="shared" si="0"/>
        <v>97500</v>
      </c>
      <c r="N22" s="114">
        <f t="shared" si="3"/>
        <v>107250</v>
      </c>
      <c r="O22" s="116">
        <f t="shared" si="4"/>
        <v>35750</v>
      </c>
      <c r="P22" s="117">
        <f t="shared" si="7"/>
        <v>48750</v>
      </c>
      <c r="Q22" s="118">
        <f t="shared" si="5"/>
        <v>107250</v>
      </c>
    </row>
    <row r="23" spans="1:17" x14ac:dyDescent="0.2">
      <c r="A23" s="82" t="s">
        <v>28</v>
      </c>
      <c r="B23" s="29">
        <v>1</v>
      </c>
      <c r="C23" s="29">
        <v>17</v>
      </c>
      <c r="D23" s="29">
        <v>1</v>
      </c>
      <c r="E23" s="83">
        <v>3</v>
      </c>
      <c r="F23" s="73">
        <f>IF((C23+E23)=0,"0",VLOOKUP((C23+E23),Hilfstabelle!A38:B73,2))</f>
        <v>1</v>
      </c>
      <c r="G23" s="124">
        <f>F23*G7</f>
        <v>9750</v>
      </c>
      <c r="H23" s="122">
        <f t="shared" si="6"/>
        <v>19500</v>
      </c>
      <c r="I23" s="126">
        <f t="shared" si="2"/>
        <v>13000</v>
      </c>
      <c r="J23" s="95">
        <f>IF((C23+E23)=0,"0",VLOOKUP((C23+E23),Hilfstabelle!A2:B37,2,))</f>
        <v>2</v>
      </c>
      <c r="K23" s="51">
        <f>J23*K7</f>
        <v>19500</v>
      </c>
      <c r="L23" s="43">
        <f t="shared" si="1"/>
        <v>39000</v>
      </c>
      <c r="M23" s="47">
        <f t="shared" si="0"/>
        <v>97500</v>
      </c>
      <c r="N23" s="19">
        <f t="shared" si="3"/>
        <v>107250</v>
      </c>
      <c r="O23" s="64">
        <f t="shared" si="4"/>
        <v>35750</v>
      </c>
      <c r="P23" s="105">
        <f t="shared" si="7"/>
        <v>48750</v>
      </c>
      <c r="Q23" s="94">
        <f t="shared" si="5"/>
        <v>107250</v>
      </c>
    </row>
    <row r="24" spans="1:17" ht="15" x14ac:dyDescent="0.25">
      <c r="A24" s="86"/>
      <c r="B24" s="66">
        <f>SUM(B8:B23)</f>
        <v>18</v>
      </c>
      <c r="C24" s="66">
        <f>SUM(C8:C23)</f>
        <v>193</v>
      </c>
      <c r="D24" s="66">
        <f>SUM(D8:D23)</f>
        <v>3</v>
      </c>
      <c r="E24" s="87">
        <f>SUM(E8:E23)</f>
        <v>17</v>
      </c>
      <c r="F24" s="136">
        <f>F8+F9+F13+F16+F17+F18+F21+F23</f>
        <v>9</v>
      </c>
      <c r="G24" s="34"/>
      <c r="H24" s="129">
        <f>ROUND((H8+H9+H13+H16+H17+H18+H21+H23),-3)</f>
        <v>176000</v>
      </c>
      <c r="I24" s="128">
        <f>ROUND(I8+I9+I13+I16+I17+I18+I21+I23,-3)</f>
        <v>117000</v>
      </c>
      <c r="J24" s="137">
        <f>J8+J9+J13+J16+J17+J18+J21+J23</f>
        <v>13</v>
      </c>
      <c r="K24" s="36"/>
      <c r="L24" s="42">
        <f>ROUND(L23+L21+L18+L17+L16+L13+L9+L8,-3)</f>
        <v>254000</v>
      </c>
      <c r="M24" s="36"/>
      <c r="N24" s="55">
        <f>ROUND((N8+N9+N13+N16+N17+N18+N21+N23),-3)</f>
        <v>697000</v>
      </c>
      <c r="O24" s="133">
        <f>ROUND(O23+O21+O18+O17+O16+O13+O9+O8,-3)</f>
        <v>232000</v>
      </c>
      <c r="P24" s="134">
        <f>ROUND(P8+P9+P13+P16+P17+P18+P21+P23,-3)</f>
        <v>349000</v>
      </c>
      <c r="Q24" s="135">
        <f>ROUND(Q8+Q9+Q13+Q16+Q17+Q18+Q21+Q23,-3)</f>
        <v>697000</v>
      </c>
    </row>
    <row r="25" spans="1:17" ht="15" x14ac:dyDescent="0.25">
      <c r="A25" s="86"/>
      <c r="B25" s="34"/>
      <c r="C25" s="34"/>
      <c r="D25" s="34"/>
      <c r="E25" s="88"/>
      <c r="F25" s="131">
        <f>F10+F11+F12+F14+F15+F19+F20+F22</f>
        <v>8</v>
      </c>
      <c r="G25" s="34"/>
      <c r="H25" s="34"/>
      <c r="I25" s="88"/>
      <c r="J25" s="120">
        <f>J10+J11+J12+J14+J15+J19+J20+J22</f>
        <v>11</v>
      </c>
      <c r="K25" s="36"/>
      <c r="L25" s="38"/>
      <c r="M25" s="62"/>
      <c r="N25" s="62"/>
      <c r="O25" s="38"/>
      <c r="P25" s="106"/>
      <c r="Q25" s="96"/>
    </row>
    <row r="26" spans="1:17" ht="15.75" thickBot="1" x14ac:dyDescent="0.3">
      <c r="A26" s="84"/>
      <c r="B26" s="85"/>
      <c r="C26" s="85"/>
      <c r="D26" s="85"/>
      <c r="E26" s="89"/>
      <c r="F26" s="132">
        <f>SUM(F8:F23)</f>
        <v>17</v>
      </c>
      <c r="G26" s="85"/>
      <c r="H26" s="85"/>
      <c r="I26" s="89"/>
      <c r="J26" s="97">
        <f>SUM(J8:J23)</f>
        <v>24</v>
      </c>
      <c r="K26" s="98"/>
      <c r="L26" s="99"/>
      <c r="M26" s="100"/>
      <c r="N26" s="100"/>
      <c r="O26" s="99"/>
      <c r="P26" s="107"/>
      <c r="Q26" s="101"/>
    </row>
    <row r="27" spans="1:17" ht="15" x14ac:dyDescent="0.25">
      <c r="A27" s="33"/>
      <c r="B27" s="34"/>
      <c r="C27" s="34"/>
      <c r="D27" s="34"/>
      <c r="E27" s="34"/>
      <c r="F27" s="34"/>
      <c r="G27" s="34"/>
      <c r="H27" s="34"/>
      <c r="I27" s="34"/>
      <c r="J27" s="35"/>
      <c r="K27" s="36"/>
      <c r="L27" s="36"/>
      <c r="M27" s="36"/>
      <c r="N27" s="36"/>
      <c r="O27" s="38"/>
    </row>
    <row r="28" spans="1:17" x14ac:dyDescent="0.2">
      <c r="A28" s="40" t="s">
        <v>61</v>
      </c>
    </row>
    <row r="29" spans="1:17" x14ac:dyDescent="0.2">
      <c r="A29" s="40" t="s">
        <v>53</v>
      </c>
    </row>
    <row r="30" spans="1:17" x14ac:dyDescent="0.2">
      <c r="A30" s="53" t="s">
        <v>38</v>
      </c>
    </row>
    <row r="31" spans="1:17" x14ac:dyDescent="0.2">
      <c r="A31" s="40" t="s">
        <v>52</v>
      </c>
    </row>
    <row r="32" spans="1:17" x14ac:dyDescent="0.2">
      <c r="A32" s="40" t="s">
        <v>56</v>
      </c>
    </row>
    <row r="33" spans="1:17" x14ac:dyDescent="0.2">
      <c r="A33" s="40" t="s">
        <v>66</v>
      </c>
    </row>
    <row r="34" spans="1:17" x14ac:dyDescent="0.2">
      <c r="A34" s="39" t="s">
        <v>71</v>
      </c>
    </row>
    <row r="35" spans="1:17" x14ac:dyDescent="0.2">
      <c r="A35" s="39" t="s">
        <v>72</v>
      </c>
      <c r="B35" s="39"/>
      <c r="C35" s="39">
        <f>ROUND((8*10)/39,0)</f>
        <v>2</v>
      </c>
      <c r="D35" s="39"/>
      <c r="E35" s="39"/>
      <c r="F35" s="39" t="s">
        <v>73</v>
      </c>
      <c r="G35" s="39"/>
    </row>
    <row r="36" spans="1:17" x14ac:dyDescent="0.2">
      <c r="A36" s="39" t="s">
        <v>74</v>
      </c>
      <c r="B36" s="39"/>
      <c r="C36" s="39">
        <f>ROUND((11*25)/39,0)</f>
        <v>7</v>
      </c>
      <c r="D36" s="39"/>
      <c r="E36" s="39"/>
      <c r="F36" s="39" t="s">
        <v>75</v>
      </c>
      <c r="G36" s="39"/>
    </row>
    <row r="37" spans="1:17" ht="15" x14ac:dyDescent="0.25">
      <c r="A37" s="175" t="s">
        <v>76</v>
      </c>
      <c r="B37" s="175"/>
      <c r="C37" s="175">
        <f>C36-C35</f>
        <v>5</v>
      </c>
      <c r="D37" s="39"/>
      <c r="E37" s="39"/>
      <c r="F37" s="39" t="s">
        <v>77</v>
      </c>
      <c r="G37" s="39"/>
    </row>
    <row r="39" spans="1:17" x14ac:dyDescent="0.2">
      <c r="A39" s="40" t="s">
        <v>62</v>
      </c>
    </row>
    <row r="40" spans="1:17" x14ac:dyDescent="0.2">
      <c r="A40" s="40"/>
    </row>
    <row r="42" spans="1:17" ht="15" x14ac:dyDescent="0.25">
      <c r="A42" s="1" t="s">
        <v>43</v>
      </c>
    </row>
    <row r="43" spans="1:17" x14ac:dyDescent="0.2">
      <c r="A43" s="40"/>
    </row>
    <row r="44" spans="1:17" ht="15.75" x14ac:dyDescent="0.25">
      <c r="B44" s="147">
        <v>2024</v>
      </c>
      <c r="C44" s="148"/>
      <c r="D44" s="147" t="s">
        <v>45</v>
      </c>
      <c r="E44" s="148"/>
    </row>
    <row r="45" spans="1:17" ht="15.6" customHeight="1" x14ac:dyDescent="0.25">
      <c r="A45" s="1" t="s">
        <v>41</v>
      </c>
      <c r="B45" s="173">
        <f>ROUND((((9*10*11*25)/12)*8)+(((13*6*11*61)/12)*4),-3)</f>
        <v>34000</v>
      </c>
      <c r="C45" s="174"/>
      <c r="D45" s="173">
        <f>ROUND(13*6*11*61,-3)</f>
        <v>52000</v>
      </c>
      <c r="E45" s="174"/>
      <c r="F45" s="160" t="s">
        <v>64</v>
      </c>
      <c r="G45" s="161"/>
      <c r="H45" s="161"/>
      <c r="I45" s="161"/>
      <c r="J45" s="161"/>
      <c r="K45" s="161"/>
      <c r="L45" s="161"/>
      <c r="M45" s="161"/>
      <c r="N45" s="161"/>
      <c r="O45" s="161"/>
      <c r="P45" s="161"/>
      <c r="Q45" s="161"/>
    </row>
    <row r="46" spans="1:17" ht="15.6" customHeight="1" x14ac:dyDescent="0.25">
      <c r="A46" s="1"/>
      <c r="B46" s="138"/>
      <c r="C46" s="139"/>
      <c r="D46" s="138"/>
      <c r="E46" s="139"/>
      <c r="F46" s="161"/>
      <c r="G46" s="161"/>
      <c r="H46" s="161"/>
      <c r="I46" s="161"/>
      <c r="J46" s="161"/>
      <c r="K46" s="161"/>
      <c r="L46" s="161"/>
      <c r="M46" s="161"/>
      <c r="N46" s="161"/>
      <c r="O46" s="161"/>
      <c r="P46" s="161"/>
      <c r="Q46" s="161"/>
    </row>
    <row r="47" spans="1:17" ht="15.6" customHeight="1" x14ac:dyDescent="0.25">
      <c r="A47" s="1"/>
      <c r="B47" s="138"/>
      <c r="C47" s="139"/>
      <c r="D47" s="138"/>
      <c r="E47" s="139"/>
      <c r="F47" s="161"/>
      <c r="G47" s="161"/>
      <c r="H47" s="161"/>
      <c r="I47" s="161"/>
      <c r="J47" s="161"/>
      <c r="K47" s="161"/>
      <c r="L47" s="161"/>
      <c r="M47" s="161"/>
      <c r="N47" s="161"/>
      <c r="O47" s="161"/>
      <c r="P47" s="161"/>
      <c r="Q47" s="161"/>
    </row>
    <row r="48" spans="1:17" ht="15" x14ac:dyDescent="0.25">
      <c r="A48" s="1"/>
      <c r="B48" s="138"/>
      <c r="C48" s="139"/>
      <c r="D48" s="138"/>
      <c r="E48" s="139"/>
      <c r="F48" s="140"/>
      <c r="G48" s="140"/>
      <c r="H48" s="140"/>
      <c r="I48" s="140"/>
      <c r="J48" s="140"/>
      <c r="K48" s="140"/>
      <c r="L48" s="140"/>
      <c r="M48" s="140"/>
      <c r="N48" s="140"/>
      <c r="O48" s="140"/>
      <c r="P48" s="140"/>
      <c r="Q48" s="140"/>
    </row>
    <row r="49" spans="1:17" ht="15.6" customHeight="1" x14ac:dyDescent="0.25">
      <c r="A49" s="1" t="s">
        <v>40</v>
      </c>
      <c r="B49" s="154">
        <f>ROUND((((17*10*275)/12)*8)+(((24*15*275)/12)*4),-3)</f>
        <v>64000</v>
      </c>
      <c r="C49" s="155"/>
      <c r="D49" s="154">
        <f>ROUND(24*15*275,-3)</f>
        <v>99000</v>
      </c>
      <c r="E49" s="155"/>
      <c r="F49" s="162" t="s">
        <v>65</v>
      </c>
      <c r="G49" s="163"/>
      <c r="H49" s="163"/>
      <c r="I49" s="163"/>
      <c r="J49" s="163"/>
      <c r="K49" s="163"/>
      <c r="L49" s="163"/>
      <c r="M49" s="163"/>
      <c r="N49" s="163"/>
      <c r="O49" s="163"/>
      <c r="P49" s="163"/>
      <c r="Q49" s="163"/>
    </row>
    <row r="50" spans="1:17" ht="15.6" customHeight="1" x14ac:dyDescent="0.2">
      <c r="A50" s="40"/>
      <c r="B50" s="54"/>
      <c r="C50" s="54"/>
      <c r="F50" s="163"/>
      <c r="G50" s="163"/>
      <c r="H50" s="163"/>
      <c r="I50" s="163"/>
      <c r="J50" s="163"/>
      <c r="K50" s="163"/>
      <c r="L50" s="163"/>
      <c r="M50" s="163"/>
      <c r="N50" s="163"/>
      <c r="O50" s="163"/>
      <c r="P50" s="163"/>
      <c r="Q50" s="163"/>
    </row>
    <row r="51" spans="1:17" s="69" customFormat="1" ht="15.6" customHeight="1" x14ac:dyDescent="0.2">
      <c r="A51" s="68"/>
      <c r="F51" s="163"/>
      <c r="G51" s="163"/>
      <c r="H51" s="163"/>
      <c r="I51" s="163"/>
      <c r="J51" s="163"/>
      <c r="K51" s="163"/>
      <c r="L51" s="163"/>
      <c r="M51" s="163"/>
      <c r="N51" s="163"/>
      <c r="O51" s="163"/>
      <c r="P51" s="163"/>
      <c r="Q51" s="163"/>
    </row>
    <row r="52" spans="1:17" s="69" customFormat="1" x14ac:dyDescent="0.2"/>
    <row r="53" spans="1:17" ht="15" x14ac:dyDescent="0.25">
      <c r="A53" s="58" t="s">
        <v>12</v>
      </c>
      <c r="B53" s="151">
        <f>B45+B49</f>
        <v>98000</v>
      </c>
      <c r="C53" s="152"/>
      <c r="D53" s="151">
        <f>D45+D49</f>
        <v>151000</v>
      </c>
      <c r="E53" s="152"/>
      <c r="F53" s="67"/>
      <c r="G53" s="67"/>
      <c r="H53" s="67"/>
      <c r="I53" s="67"/>
      <c r="J53" s="57"/>
      <c r="K53" s="57"/>
      <c r="L53" s="57"/>
      <c r="M53" s="57"/>
      <c r="N53" s="57"/>
      <c r="O53" s="57"/>
    </row>
    <row r="54" spans="1:17" ht="15" x14ac:dyDescent="0.25">
      <c r="A54" s="58"/>
      <c r="B54" s="60"/>
      <c r="C54" s="60"/>
      <c r="D54" s="60"/>
      <c r="E54" s="57"/>
      <c r="F54" s="67"/>
      <c r="G54" s="67"/>
      <c r="H54" s="67"/>
      <c r="I54" s="67"/>
      <c r="J54" s="57"/>
      <c r="K54" s="57"/>
      <c r="L54" s="57"/>
      <c r="M54" s="57"/>
      <c r="N54" s="57"/>
      <c r="O54" s="57"/>
    </row>
    <row r="55" spans="1:17" x14ac:dyDescent="0.2">
      <c r="A55" s="57"/>
      <c r="B55" s="57"/>
      <c r="C55" s="57"/>
      <c r="D55" s="57"/>
      <c r="E55" s="57"/>
      <c r="F55" s="67"/>
      <c r="G55" s="67"/>
      <c r="H55" s="67"/>
      <c r="I55" s="67"/>
      <c r="J55" s="57"/>
      <c r="K55" s="57"/>
      <c r="L55" s="57"/>
      <c r="M55" s="57"/>
      <c r="N55" s="57"/>
      <c r="O55" s="57"/>
    </row>
    <row r="56" spans="1:17" ht="18" x14ac:dyDescent="0.25">
      <c r="A56" s="52" t="s">
        <v>42</v>
      </c>
      <c r="B56" s="54"/>
      <c r="C56" s="56"/>
    </row>
    <row r="58" spans="1:17" ht="15" x14ac:dyDescent="0.25">
      <c r="B58" s="1"/>
      <c r="C58" s="59"/>
      <c r="D58" s="1"/>
    </row>
    <row r="59" spans="1:17" ht="15" x14ac:dyDescent="0.25">
      <c r="A59" s="1" t="s">
        <v>46</v>
      </c>
      <c r="B59" s="149">
        <f>P24</f>
        <v>349000</v>
      </c>
      <c r="C59" s="153"/>
      <c r="D59" s="149">
        <f>Q24</f>
        <v>697000</v>
      </c>
      <c r="E59" s="153"/>
    </row>
    <row r="60" spans="1:17" ht="15" x14ac:dyDescent="0.25">
      <c r="A60" s="1" t="s">
        <v>47</v>
      </c>
      <c r="B60" s="149">
        <f>H24</f>
        <v>176000</v>
      </c>
      <c r="C60" s="150"/>
      <c r="D60" s="149">
        <f>H24</f>
        <v>176000</v>
      </c>
      <c r="E60" s="150"/>
    </row>
    <row r="61" spans="1:17" ht="15" x14ac:dyDescent="0.25">
      <c r="A61" s="1" t="s">
        <v>44</v>
      </c>
      <c r="B61" s="149">
        <f>B53</f>
        <v>98000</v>
      </c>
      <c r="C61" s="150"/>
      <c r="D61" s="149">
        <f>D53</f>
        <v>151000</v>
      </c>
      <c r="E61" s="150"/>
    </row>
    <row r="62" spans="1:17" ht="15" x14ac:dyDescent="0.25">
      <c r="A62" s="1"/>
      <c r="B62" s="1"/>
      <c r="C62" s="1"/>
      <c r="D62" s="1"/>
      <c r="E62" s="1"/>
    </row>
    <row r="63" spans="1:17" ht="15" x14ac:dyDescent="0.25">
      <c r="A63" s="1" t="s">
        <v>12</v>
      </c>
      <c r="B63" s="145">
        <f>B59-B60-B61</f>
        <v>75000</v>
      </c>
      <c r="C63" s="146"/>
      <c r="D63" s="145">
        <f>D59-D60-D61</f>
        <v>370000</v>
      </c>
      <c r="E63" s="146"/>
    </row>
  </sheetData>
  <mergeCells count="24">
    <mergeCell ref="B5:C5"/>
    <mergeCell ref="D5:E5"/>
    <mergeCell ref="F45:Q47"/>
    <mergeCell ref="F49:Q51"/>
    <mergeCell ref="A5:A6"/>
    <mergeCell ref="F5:I5"/>
    <mergeCell ref="P5:Q5"/>
    <mergeCell ref="J5:O5"/>
    <mergeCell ref="B45:C45"/>
    <mergeCell ref="D45:E45"/>
    <mergeCell ref="B63:C63"/>
    <mergeCell ref="D63:E63"/>
    <mergeCell ref="B44:C44"/>
    <mergeCell ref="D44:E44"/>
    <mergeCell ref="B60:C60"/>
    <mergeCell ref="D60:E60"/>
    <mergeCell ref="B53:C53"/>
    <mergeCell ref="D53:E53"/>
    <mergeCell ref="B59:C59"/>
    <mergeCell ref="D59:E59"/>
    <mergeCell ref="B61:C61"/>
    <mergeCell ref="D61:E61"/>
    <mergeCell ref="B49:C49"/>
    <mergeCell ref="D49:E49"/>
  </mergeCells>
  <pageMargins left="0.51181102362204722" right="0.51181102362204722" top="0.78740157480314965" bottom="0.78740157480314965" header="0.31496062992125984" footer="0.31496062992125984"/>
  <pageSetup paperSize="9" scale="55"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34" workbookViewId="0">
      <selection activeCell="F44" sqref="F44"/>
    </sheetView>
  </sheetViews>
  <sheetFormatPr baseColWidth="10" defaultRowHeight="14.25" x14ac:dyDescent="0.2"/>
  <cols>
    <col min="1" max="1" width="15" bestFit="1" customWidth="1"/>
  </cols>
  <sheetData>
    <row r="1" spans="1:2" x14ac:dyDescent="0.2">
      <c r="A1" t="s">
        <v>36</v>
      </c>
      <c r="B1" t="s">
        <v>37</v>
      </c>
    </row>
    <row r="2" spans="1:2" x14ac:dyDescent="0.2">
      <c r="A2">
        <v>1</v>
      </c>
      <c r="B2">
        <v>1</v>
      </c>
    </row>
    <row r="3" spans="1:2" x14ac:dyDescent="0.2">
      <c r="A3">
        <v>2</v>
      </c>
      <c r="B3">
        <v>1</v>
      </c>
    </row>
    <row r="4" spans="1:2" x14ac:dyDescent="0.2">
      <c r="A4">
        <v>3</v>
      </c>
      <c r="B4">
        <v>1</v>
      </c>
    </row>
    <row r="5" spans="1:2" x14ac:dyDescent="0.2">
      <c r="A5">
        <v>4</v>
      </c>
      <c r="B5">
        <v>1</v>
      </c>
    </row>
    <row r="6" spans="1:2" x14ac:dyDescent="0.2">
      <c r="A6">
        <v>5</v>
      </c>
      <c r="B6">
        <v>1</v>
      </c>
    </row>
    <row r="7" spans="1:2" x14ac:dyDescent="0.2">
      <c r="A7">
        <v>6</v>
      </c>
      <c r="B7">
        <v>1</v>
      </c>
    </row>
    <row r="8" spans="1:2" x14ac:dyDescent="0.2">
      <c r="A8">
        <v>7</v>
      </c>
      <c r="B8">
        <v>1</v>
      </c>
    </row>
    <row r="9" spans="1:2" x14ac:dyDescent="0.2">
      <c r="A9">
        <v>8</v>
      </c>
      <c r="B9">
        <v>1</v>
      </c>
    </row>
    <row r="10" spans="1:2" x14ac:dyDescent="0.2">
      <c r="A10">
        <v>9</v>
      </c>
      <c r="B10">
        <v>1</v>
      </c>
    </row>
    <row r="11" spans="1:2" x14ac:dyDescent="0.2">
      <c r="A11">
        <v>10</v>
      </c>
      <c r="B11">
        <v>1</v>
      </c>
    </row>
    <row r="12" spans="1:2" x14ac:dyDescent="0.2">
      <c r="A12">
        <v>11</v>
      </c>
      <c r="B12">
        <v>1</v>
      </c>
    </row>
    <row r="13" spans="1:2" x14ac:dyDescent="0.2">
      <c r="A13">
        <v>12</v>
      </c>
      <c r="B13">
        <v>1</v>
      </c>
    </row>
    <row r="14" spans="1:2" x14ac:dyDescent="0.2">
      <c r="A14">
        <v>13</v>
      </c>
      <c r="B14">
        <v>2</v>
      </c>
    </row>
    <row r="15" spans="1:2" x14ac:dyDescent="0.2">
      <c r="A15">
        <v>14</v>
      </c>
      <c r="B15">
        <v>2</v>
      </c>
    </row>
    <row r="16" spans="1:2" x14ac:dyDescent="0.2">
      <c r="A16">
        <v>15</v>
      </c>
      <c r="B16">
        <v>2</v>
      </c>
    </row>
    <row r="17" spans="1:2" x14ac:dyDescent="0.2">
      <c r="A17">
        <v>16</v>
      </c>
      <c r="B17">
        <v>2</v>
      </c>
    </row>
    <row r="18" spans="1:2" x14ac:dyDescent="0.2">
      <c r="A18">
        <v>17</v>
      </c>
      <c r="B18">
        <v>2</v>
      </c>
    </row>
    <row r="19" spans="1:2" x14ac:dyDescent="0.2">
      <c r="A19">
        <v>18</v>
      </c>
      <c r="B19">
        <v>2</v>
      </c>
    </row>
    <row r="20" spans="1:2" x14ac:dyDescent="0.2">
      <c r="A20">
        <v>19</v>
      </c>
      <c r="B20">
        <v>2</v>
      </c>
    </row>
    <row r="21" spans="1:2" x14ac:dyDescent="0.2">
      <c r="A21">
        <v>20</v>
      </c>
      <c r="B21">
        <v>2</v>
      </c>
    </row>
    <row r="22" spans="1:2" x14ac:dyDescent="0.2">
      <c r="A22">
        <v>21</v>
      </c>
      <c r="B22">
        <v>2</v>
      </c>
    </row>
    <row r="23" spans="1:2" x14ac:dyDescent="0.2">
      <c r="A23">
        <v>22</v>
      </c>
      <c r="B23">
        <v>2</v>
      </c>
    </row>
    <row r="24" spans="1:2" x14ac:dyDescent="0.2">
      <c r="A24">
        <v>23</v>
      </c>
      <c r="B24">
        <v>2</v>
      </c>
    </row>
    <row r="25" spans="1:2" x14ac:dyDescent="0.2">
      <c r="A25">
        <v>24</v>
      </c>
      <c r="B25">
        <v>2</v>
      </c>
    </row>
    <row r="26" spans="1:2" x14ac:dyDescent="0.2">
      <c r="A26">
        <v>25</v>
      </c>
      <c r="B26">
        <v>3</v>
      </c>
    </row>
    <row r="27" spans="1:2" x14ac:dyDescent="0.2">
      <c r="A27">
        <v>26</v>
      </c>
      <c r="B27">
        <v>3</v>
      </c>
    </row>
    <row r="28" spans="1:2" x14ac:dyDescent="0.2">
      <c r="A28">
        <v>27</v>
      </c>
      <c r="B28">
        <v>3</v>
      </c>
    </row>
    <row r="29" spans="1:2" x14ac:dyDescent="0.2">
      <c r="A29">
        <v>28</v>
      </c>
      <c r="B29">
        <v>3</v>
      </c>
    </row>
    <row r="30" spans="1:2" x14ac:dyDescent="0.2">
      <c r="A30">
        <v>29</v>
      </c>
      <c r="B30">
        <v>3</v>
      </c>
    </row>
    <row r="31" spans="1:2" x14ac:dyDescent="0.2">
      <c r="A31">
        <v>30</v>
      </c>
      <c r="B31">
        <v>3</v>
      </c>
    </row>
    <row r="32" spans="1:2" x14ac:dyDescent="0.2">
      <c r="A32">
        <v>31</v>
      </c>
      <c r="B32">
        <v>3</v>
      </c>
    </row>
    <row r="33" spans="1:2" x14ac:dyDescent="0.2">
      <c r="A33">
        <v>32</v>
      </c>
      <c r="B33">
        <v>3</v>
      </c>
    </row>
    <row r="34" spans="1:2" x14ac:dyDescent="0.2">
      <c r="A34">
        <v>33</v>
      </c>
      <c r="B34">
        <v>3</v>
      </c>
    </row>
    <row r="35" spans="1:2" x14ac:dyDescent="0.2">
      <c r="A35">
        <v>34</v>
      </c>
      <c r="B35">
        <v>3</v>
      </c>
    </row>
    <row r="36" spans="1:2" x14ac:dyDescent="0.2">
      <c r="A36">
        <v>35</v>
      </c>
      <c r="B36">
        <v>3</v>
      </c>
    </row>
    <row r="37" spans="1:2" x14ac:dyDescent="0.2">
      <c r="A37">
        <v>36</v>
      </c>
      <c r="B37">
        <v>3</v>
      </c>
    </row>
    <row r="38" spans="1:2" x14ac:dyDescent="0.2">
      <c r="A38">
        <v>1</v>
      </c>
      <c r="B38">
        <v>1</v>
      </c>
    </row>
    <row r="39" spans="1:2" x14ac:dyDescent="0.2">
      <c r="A39">
        <v>2</v>
      </c>
      <c r="B39">
        <v>1</v>
      </c>
    </row>
    <row r="40" spans="1:2" x14ac:dyDescent="0.2">
      <c r="A40">
        <v>3</v>
      </c>
      <c r="B40">
        <v>1</v>
      </c>
    </row>
    <row r="41" spans="1:2" x14ac:dyDescent="0.2">
      <c r="A41">
        <v>4</v>
      </c>
      <c r="B41">
        <v>1</v>
      </c>
    </row>
    <row r="42" spans="1:2" x14ac:dyDescent="0.2">
      <c r="A42">
        <v>5</v>
      </c>
      <c r="B42">
        <v>1</v>
      </c>
    </row>
    <row r="43" spans="1:2" x14ac:dyDescent="0.2">
      <c r="A43">
        <v>6</v>
      </c>
      <c r="B43">
        <v>1</v>
      </c>
    </row>
    <row r="44" spans="1:2" x14ac:dyDescent="0.2">
      <c r="A44">
        <v>7</v>
      </c>
      <c r="B44">
        <v>1</v>
      </c>
    </row>
    <row r="45" spans="1:2" x14ac:dyDescent="0.2">
      <c r="A45">
        <v>8</v>
      </c>
      <c r="B45">
        <v>1</v>
      </c>
    </row>
    <row r="46" spans="1:2" x14ac:dyDescent="0.2">
      <c r="A46">
        <v>9</v>
      </c>
      <c r="B46">
        <v>1</v>
      </c>
    </row>
    <row r="47" spans="1:2" x14ac:dyDescent="0.2">
      <c r="A47">
        <v>10</v>
      </c>
      <c r="B47">
        <v>1</v>
      </c>
    </row>
    <row r="48" spans="1:2" x14ac:dyDescent="0.2">
      <c r="A48">
        <v>11</v>
      </c>
      <c r="B48">
        <v>1</v>
      </c>
    </row>
    <row r="49" spans="1:2" x14ac:dyDescent="0.2">
      <c r="A49">
        <v>12</v>
      </c>
      <c r="B49">
        <v>1</v>
      </c>
    </row>
    <row r="50" spans="1:2" x14ac:dyDescent="0.2">
      <c r="A50">
        <v>13</v>
      </c>
      <c r="B50">
        <v>1</v>
      </c>
    </row>
    <row r="51" spans="1:2" x14ac:dyDescent="0.2">
      <c r="A51">
        <v>14</v>
      </c>
      <c r="B51">
        <v>1</v>
      </c>
    </row>
    <row r="52" spans="1:2" x14ac:dyDescent="0.2">
      <c r="A52">
        <v>15</v>
      </c>
      <c r="B52">
        <v>1</v>
      </c>
    </row>
    <row r="53" spans="1:2" x14ac:dyDescent="0.2">
      <c r="A53">
        <v>16</v>
      </c>
      <c r="B53">
        <v>1</v>
      </c>
    </row>
    <row r="54" spans="1:2" x14ac:dyDescent="0.2">
      <c r="A54">
        <v>17</v>
      </c>
      <c r="B54">
        <v>1</v>
      </c>
    </row>
    <row r="55" spans="1:2" x14ac:dyDescent="0.2">
      <c r="A55">
        <v>18</v>
      </c>
      <c r="B55">
        <v>1</v>
      </c>
    </row>
    <row r="56" spans="1:2" x14ac:dyDescent="0.2">
      <c r="A56">
        <v>19</v>
      </c>
      <c r="B56">
        <v>1</v>
      </c>
    </row>
    <row r="57" spans="1:2" x14ac:dyDescent="0.2">
      <c r="A57">
        <v>20</v>
      </c>
      <c r="B57">
        <v>1</v>
      </c>
    </row>
    <row r="58" spans="1:2" x14ac:dyDescent="0.2">
      <c r="A58">
        <v>21</v>
      </c>
      <c r="B58">
        <v>2</v>
      </c>
    </row>
    <row r="59" spans="1:2" x14ac:dyDescent="0.2">
      <c r="A59">
        <v>22</v>
      </c>
      <c r="B59">
        <v>2</v>
      </c>
    </row>
    <row r="60" spans="1:2" x14ac:dyDescent="0.2">
      <c r="A60">
        <v>23</v>
      </c>
      <c r="B60">
        <v>2</v>
      </c>
    </row>
    <row r="61" spans="1:2" x14ac:dyDescent="0.2">
      <c r="A61">
        <v>24</v>
      </c>
      <c r="B61">
        <v>2</v>
      </c>
    </row>
    <row r="62" spans="1:2" x14ac:dyDescent="0.2">
      <c r="A62">
        <v>25</v>
      </c>
      <c r="B62">
        <v>2</v>
      </c>
    </row>
    <row r="63" spans="1:2" x14ac:dyDescent="0.2">
      <c r="A63">
        <v>26</v>
      </c>
      <c r="B63">
        <v>2</v>
      </c>
    </row>
    <row r="64" spans="1:2" x14ac:dyDescent="0.2">
      <c r="A64">
        <v>27</v>
      </c>
      <c r="B64">
        <v>2</v>
      </c>
    </row>
    <row r="65" spans="1:2" x14ac:dyDescent="0.2">
      <c r="A65">
        <v>28</v>
      </c>
      <c r="B65">
        <v>2</v>
      </c>
    </row>
    <row r="66" spans="1:2" x14ac:dyDescent="0.2">
      <c r="A66">
        <v>29</v>
      </c>
      <c r="B66">
        <v>2</v>
      </c>
    </row>
    <row r="67" spans="1:2" x14ac:dyDescent="0.2">
      <c r="A67">
        <v>30</v>
      </c>
      <c r="B67">
        <v>2</v>
      </c>
    </row>
    <row r="68" spans="1:2" x14ac:dyDescent="0.2">
      <c r="A68">
        <v>31</v>
      </c>
      <c r="B68">
        <v>2</v>
      </c>
    </row>
    <row r="69" spans="1:2" x14ac:dyDescent="0.2">
      <c r="A69">
        <v>32</v>
      </c>
      <c r="B69">
        <v>2</v>
      </c>
    </row>
    <row r="70" spans="1:2" x14ac:dyDescent="0.2">
      <c r="A70">
        <v>33</v>
      </c>
      <c r="B70">
        <v>2</v>
      </c>
    </row>
    <row r="71" spans="1:2" x14ac:dyDescent="0.2">
      <c r="A71">
        <v>34</v>
      </c>
      <c r="B71">
        <v>2</v>
      </c>
    </row>
    <row r="72" spans="1:2" x14ac:dyDescent="0.2">
      <c r="A72">
        <v>35</v>
      </c>
      <c r="B72">
        <v>2</v>
      </c>
    </row>
    <row r="73" spans="1:2" x14ac:dyDescent="0.2">
      <c r="A73">
        <v>36</v>
      </c>
      <c r="B73">
        <v>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21-22</vt:lpstr>
      <vt:lpstr>22-23</vt:lpstr>
      <vt:lpstr>Hilfstabelle</vt:lpstr>
      <vt:lpstr>'22-23'!Druckbereich</vt:lpstr>
    </vt:vector>
  </TitlesOfParts>
  <Company>Landeshauptstadt Stuttgart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Landfried, Jana</dc:creator>
  <cp:lastModifiedBy>Landfried, Jana</cp:lastModifiedBy>
  <cp:lastPrinted>2023-05-11T09:01:27Z</cp:lastPrinted>
  <dcterms:created xsi:type="dcterms:W3CDTF">2023-04-26T07:28:22Z</dcterms:created>
  <dcterms:modified xsi:type="dcterms:W3CDTF">2023-05-26T07:57:48Z</dcterms:modified>
</cp:coreProperties>
</file>