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8" windowWidth="14856" windowHeight="8496" activeTab="0"/>
  </bookViews>
  <sheets>
    <sheet name="Schema2015" sheetId="1" r:id="rId1"/>
    <sheet name="NK2015" sheetId="2" r:id="rId2"/>
  </sheets>
  <definedNames>
    <definedName name="_xlnm.Print_Area" localSheetId="1">'NK2015'!$A$1:$F$93</definedName>
    <definedName name="_xlnm.Print_Area" localSheetId="0">'Schema2015'!$A:$IV</definedName>
  </definedNames>
  <calcPr fullCalcOnLoad="1"/>
</workbook>
</file>

<file path=xl/comments1.xml><?xml version="1.0" encoding="utf-8"?>
<comments xmlns="http://schemas.openxmlformats.org/spreadsheetml/2006/main">
  <authors>
    <author>u660k08</author>
  </authors>
  <commentList>
    <comment ref="I43" authorId="0">
      <text>
        <r>
          <rPr>
            <b/>
            <sz val="9"/>
            <rFont val="Tahoma"/>
            <family val="2"/>
          </rPr>
          <t>u660k08:</t>
        </r>
        <r>
          <rPr>
            <sz val="9"/>
            <rFont val="Tahoma"/>
            <family val="2"/>
          </rPr>
          <t xml:space="preserve">
Lt. Liste von Hrn. Oswald</t>
        </r>
      </text>
    </comment>
  </commentList>
</comments>
</file>

<file path=xl/comments2.xml><?xml version="1.0" encoding="utf-8"?>
<comments xmlns="http://schemas.openxmlformats.org/spreadsheetml/2006/main">
  <authors>
    <author>u660k08</author>
  </authors>
  <commentList>
    <comment ref="B9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inkl. Kanalbetriebshof</t>
        </r>
      </text>
    </comment>
    <comment ref="C10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abzüglich direkte Kosten 1.308.975,57 €</t>
        </r>
      </text>
    </comment>
    <comment ref="A29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Aufteilung nach Kostenarten
</t>
        </r>
      </text>
    </comment>
    <comment ref="C43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Aufteilung nach JA 2014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<sst xmlns="http://schemas.openxmlformats.org/spreadsheetml/2006/main" count="157" uniqueCount="111">
  <si>
    <t xml:space="preserve">     Kanalnetz</t>
  </si>
  <si>
    <t xml:space="preserve">     Klärwerke</t>
  </si>
  <si>
    <t>Allgemein</t>
  </si>
  <si>
    <t>Direkt</t>
  </si>
  <si>
    <t>Gesamt</t>
  </si>
  <si>
    <t>Kontrolle:</t>
  </si>
  <si>
    <t>Umlage</t>
  </si>
  <si>
    <t xml:space="preserve">   II. Aufwand</t>
  </si>
  <si>
    <t>Betriebskosten</t>
  </si>
  <si>
    <t>AfA</t>
  </si>
  <si>
    <t>Zinsen</t>
  </si>
  <si>
    <r>
      <t xml:space="preserve"> III. Nebenerträge </t>
    </r>
    <r>
      <rPr>
        <sz val="12"/>
        <rFont val="Arial"/>
        <family val="2"/>
      </rPr>
      <t>(ohne Auflösungen)</t>
    </r>
  </si>
  <si>
    <t>Nebenerträge</t>
  </si>
  <si>
    <t>Auflösungen</t>
  </si>
  <si>
    <t>Aufwand</t>
  </si>
  <si>
    <t xml:space="preserve">   Gesamt</t>
  </si>
  <si>
    <t xml:space="preserve">  V. Gespaltene Kosten</t>
  </si>
  <si>
    <r>
      <t xml:space="preserve">  I. Betriebskosten</t>
    </r>
    <r>
      <rPr>
        <sz val="12"/>
        <rFont val="Arial"/>
        <family val="2"/>
      </rPr>
      <t xml:space="preserve"> (ohne AfA und Zinsen)</t>
    </r>
  </si>
  <si>
    <t>%</t>
  </si>
  <si>
    <t xml:space="preserve"> IV. Nebenerträge (ohne Auflösungen Kanalbeitrag und Erschl.Beitrag)</t>
  </si>
  <si>
    <t>Kanalbeitrag</t>
  </si>
  <si>
    <t>Erschl.Beitrag</t>
  </si>
  <si>
    <t xml:space="preserve">   Auflösungen</t>
  </si>
  <si>
    <t xml:space="preserve"> VI. Abzugskapital </t>
  </si>
  <si>
    <t>Kosten Kanalnetz</t>
  </si>
  <si>
    <t>Kosten Klärwerk</t>
  </si>
  <si>
    <t>insgesamt:</t>
  </si>
  <si>
    <t>Leistungsdaten</t>
  </si>
  <si>
    <t>Schmutzwasser</t>
  </si>
  <si>
    <t>Regenwasser</t>
  </si>
  <si>
    <t>€</t>
  </si>
  <si>
    <t>Kosten insgesamt:</t>
  </si>
  <si>
    <t>Abzugskapital Kanalbeiträge</t>
  </si>
  <si>
    <t>Abzugskapital Vorfluterpauschale</t>
  </si>
  <si>
    <t>Kosten privates Regenwasser</t>
  </si>
  <si>
    <t>Kosten Straßenfläche</t>
  </si>
  <si>
    <t>m³</t>
  </si>
  <si>
    <t>m²</t>
  </si>
  <si>
    <t>Abzugskapital</t>
  </si>
  <si>
    <t>Vorfluterpauschale</t>
  </si>
  <si>
    <t>Kosten Schmutzwasser</t>
  </si>
  <si>
    <t>Kosten Straßenentwässerung</t>
  </si>
  <si>
    <t>Verteilungsdaten</t>
  </si>
  <si>
    <t>:</t>
  </si>
  <si>
    <t>Kosten Regenwasser</t>
  </si>
  <si>
    <t>insgesamt in m²</t>
  </si>
  <si>
    <t>€/m³</t>
  </si>
  <si>
    <t>€/m²</t>
  </si>
  <si>
    <t xml:space="preserve">   Laut VK:</t>
  </si>
  <si>
    <t>Gesamtkosten</t>
  </si>
  <si>
    <t xml:space="preserve">private Entwässerung </t>
  </si>
  <si>
    <t>Gebührenfähige Gesamtkosten</t>
  </si>
  <si>
    <t>Frischwasser +</t>
  </si>
  <si>
    <t xml:space="preserve">   SW:RW=</t>
  </si>
  <si>
    <t xml:space="preserve">   Priv. Fl. : Str. Fl.=</t>
  </si>
  <si>
    <t xml:space="preserve">   Kosten SW : Kosten pr. RW=</t>
  </si>
  <si>
    <t xml:space="preserve">  SW:RW=</t>
  </si>
  <si>
    <t>"Eigenwasser" in m³</t>
  </si>
  <si>
    <t>Starkverschm.zu.</t>
  </si>
  <si>
    <t>Schmutzwasserentgelt</t>
  </si>
  <si>
    <t xml:space="preserve"> </t>
  </si>
  <si>
    <t>Ermittlung des Schmutzwasserentgelts, der Niederschlagswassergebühr</t>
  </si>
  <si>
    <t>(Flächenermittlung durch externe Beratungsfirma)</t>
  </si>
  <si>
    <t>(Flächenermittlung durch Tiefbauamt -Straßendatenbank-)</t>
  </si>
  <si>
    <t>Kosten Kanalnetz (auf Basis externes Gutachten)</t>
  </si>
  <si>
    <t>Kosten Klärwerke (auf Basis externes Gutachten)</t>
  </si>
  <si>
    <t>Kosten privates Niederschlagswasser</t>
  </si>
  <si>
    <t>Niederschlagswassergebühr</t>
  </si>
  <si>
    <t>Private Flächen</t>
  </si>
  <si>
    <t>Öffentliche Flächen</t>
  </si>
  <si>
    <t>Gebührenfähiger Aufwand:</t>
  </si>
  <si>
    <t>Direkte Kosten Schmutzwasser</t>
  </si>
  <si>
    <t>(EnBW-Entgelt)</t>
  </si>
  <si>
    <t>Direkte Kosten privates Nieder-</t>
  </si>
  <si>
    <t>schlagswasser (Steueramt,</t>
  </si>
  <si>
    <t>Stadtm.amt)</t>
  </si>
  <si>
    <t>Direkte Kosten Straßenent-</t>
  </si>
  <si>
    <t>Frischwasser + Eigenwasser</t>
  </si>
  <si>
    <t>Gesamtkosten pr. Entwässerung</t>
  </si>
  <si>
    <t>Direkte Kosten</t>
  </si>
  <si>
    <t>errechnet</t>
  </si>
  <si>
    <t>Zinsdifferenz</t>
  </si>
  <si>
    <t>Jahresergebnis</t>
  </si>
  <si>
    <t>Kalk. Zinsaufwand:</t>
  </si>
  <si>
    <t>Tats. Zinsaufwand:</t>
  </si>
  <si>
    <t xml:space="preserve">   Dir. Kosten</t>
  </si>
  <si>
    <t xml:space="preserve">    - Stadtm.amt</t>
  </si>
  <si>
    <t xml:space="preserve">wässerung </t>
  </si>
  <si>
    <t>Zinssatz:</t>
  </si>
  <si>
    <t>nach HGB</t>
  </si>
  <si>
    <t>Geb.ausgleichsrückstellung NW</t>
  </si>
  <si>
    <t>Nachholung Kostenunt.deck. SW</t>
  </si>
  <si>
    <t>Kanalbeiträge</t>
  </si>
  <si>
    <t>Unterdeck. NW</t>
  </si>
  <si>
    <t>Geb.ausgleichsrückstellung SW</t>
  </si>
  <si>
    <t>Nachholung Kostenunt.deck. NW</t>
  </si>
  <si>
    <t xml:space="preserve">   Aufl. Rüst. SW</t>
  </si>
  <si>
    <t xml:space="preserve">   Unterdeck. NW</t>
  </si>
  <si>
    <t xml:space="preserve">Nachkalkulation 2015 </t>
  </si>
  <si>
    <t>und der Kosten der Straßenentwässerung für 2015</t>
  </si>
  <si>
    <t>gebucht</t>
  </si>
  <si>
    <t>Differenz</t>
  </si>
  <si>
    <t>Ergebnis Gebührennachkalkulation</t>
  </si>
  <si>
    <t xml:space="preserve">Zuführung </t>
  </si>
  <si>
    <t>Kostenüberd.</t>
  </si>
  <si>
    <t>Überdeck. SW</t>
  </si>
  <si>
    <t>(Verbindlichkeit)</t>
  </si>
  <si>
    <t>Dir. Kosten abzüglich Gebühren-</t>
  </si>
  <si>
    <t>ausgleichsrückstellung</t>
  </si>
  <si>
    <t xml:space="preserve">Dir. Kosten zuzüglich Nachholung </t>
  </si>
  <si>
    <t>Kostenunterdeckung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</si>
</sst>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€&quot;"/>
    <numFmt numFmtId="173" formatCode="#,##0\ &quot;m³&quot;"/>
    <numFmt numFmtId="174" formatCode="0.0\ &quot;%&quot;"/>
    <numFmt numFmtId="175" formatCode="#,##0\ &quot;%&quot;"/>
    <numFmt numFmtId="176" formatCode="General\ &quot;%&quot;"/>
    <numFmt numFmtId="177" formatCode="General&quot; %&quot;"/>
    <numFmt numFmtId="178" formatCode="0.0%"/>
    <numFmt numFmtId="179" formatCode="#,##0\ &quot;m²&quot;"/>
    <numFmt numFmtId="180" formatCode="#,##0.00\ &quot;€/m³&quot;"/>
    <numFmt numFmtId="181" formatCode="#,##0.00\ &quot;€/m²&quot;"/>
    <numFmt numFmtId="182" formatCode="#,##0.00\ &quot;€&quot;"/>
    <numFmt numFmtId="183" formatCode="#,##0.000"/>
    <numFmt numFmtId="184" formatCode="0.000%"/>
    <numFmt numFmtId="185" formatCode="#,##0.0"/>
    <numFmt numFmtId="186" formatCode="s\t\a\nd\a\rd"/>
    <numFmt numFmtId="187" formatCode="#,000"/>
    <numFmt numFmtId="188" formatCode="#,##0.0000"/>
    <numFmt numFmtId="189" formatCode="0.000"/>
    <numFmt numFmtId="190" formatCode="#,##0.00000"/>
    <numFmt numFmtId="191" formatCode="#,##0.000000"/>
    <numFmt numFmtId="192" formatCode="0.0"/>
    <numFmt numFmtId="193" formatCode="0.0000"/>
    <numFmt numFmtId="194" formatCode="0.00000"/>
    <numFmt numFmtId="195" formatCode="0.000000"/>
    <numFmt numFmtId="196" formatCode="0.00000000"/>
    <numFmt numFmtId="197" formatCode="0.0000000"/>
    <numFmt numFmtId="198" formatCode="[$-407]dddd\,\ d\.\ mmmm\ yyyy"/>
    <numFmt numFmtId="199" formatCode="#,##0\ &quot;€&quot;"/>
  </numFmts>
  <fonts count="55"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24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48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 quotePrefix="1">
      <alignment horizontal="left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 quotePrefix="1">
      <alignment horizontal="left"/>
    </xf>
    <xf numFmtId="4" fontId="2" fillId="0" borderId="10" xfId="0" applyNumberFormat="1" applyFont="1" applyBorder="1" applyAlignment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 quotePrefix="1">
      <alignment horizontal="center"/>
    </xf>
    <xf numFmtId="4" fontId="0" fillId="0" borderId="0" xfId="0" applyNumberFormat="1" applyBorder="1" applyAlignment="1">
      <alignment/>
    </xf>
    <xf numFmtId="0" fontId="1" fillId="0" borderId="0" xfId="52" applyFont="1">
      <alignment/>
      <protection/>
    </xf>
    <xf numFmtId="0" fontId="5" fillId="0" borderId="0" xfId="52" applyFont="1">
      <alignment/>
      <protection/>
    </xf>
    <xf numFmtId="0" fontId="4" fillId="0" borderId="0" xfId="52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1" fillId="0" borderId="11" xfId="52" applyFont="1" applyBorder="1">
      <alignment/>
      <protection/>
    </xf>
    <xf numFmtId="0" fontId="4" fillId="0" borderId="12" xfId="52" applyBorder="1">
      <alignment/>
      <protection/>
    </xf>
    <xf numFmtId="0" fontId="4" fillId="0" borderId="0" xfId="52" applyBorder="1">
      <alignment/>
      <protection/>
    </xf>
    <xf numFmtId="0" fontId="4" fillId="0" borderId="13" xfId="52" applyBorder="1">
      <alignment/>
      <protection/>
    </xf>
    <xf numFmtId="172" fontId="4" fillId="0" borderId="14" xfId="52" applyNumberFormat="1" applyBorder="1">
      <alignment/>
      <protection/>
    </xf>
    <xf numFmtId="0" fontId="9" fillId="0" borderId="0" xfId="52" applyFont="1">
      <alignment/>
      <protection/>
    </xf>
    <xf numFmtId="10" fontId="4" fillId="0" borderId="0" xfId="52" applyNumberFormat="1" applyAlignment="1">
      <alignment horizontal="center"/>
      <protection/>
    </xf>
    <xf numFmtId="9" fontId="4" fillId="0" borderId="0" xfId="52" applyNumberFormat="1" applyAlignment="1">
      <alignment horizontal="right"/>
      <protection/>
    </xf>
    <xf numFmtId="10" fontId="4" fillId="0" borderId="0" xfId="52" applyNumberFormat="1" applyAlignment="1">
      <alignment horizontal="left"/>
      <protection/>
    </xf>
    <xf numFmtId="10" fontId="4" fillId="0" borderId="0" xfId="52" applyNumberFormat="1" applyAlignment="1">
      <alignment horizontal="right"/>
      <protection/>
    </xf>
    <xf numFmtId="0" fontId="4" fillId="0" borderId="0" xfId="52" applyFont="1">
      <alignment/>
      <protection/>
    </xf>
    <xf numFmtId="3" fontId="5" fillId="0" borderId="0" xfId="52" applyNumberFormat="1" applyFont="1" applyFill="1" applyBorder="1" applyAlignment="1">
      <alignment horizontal="right"/>
      <protection/>
    </xf>
    <xf numFmtId="0" fontId="9" fillId="0" borderId="13" xfId="52" applyFont="1" applyBorder="1">
      <alignment/>
      <protection/>
    </xf>
    <xf numFmtId="10" fontId="4" fillId="0" borderId="0" xfId="52" applyNumberFormat="1" applyFont="1">
      <alignment/>
      <protection/>
    </xf>
    <xf numFmtId="10" fontId="4" fillId="0" borderId="0" xfId="52" applyNumberFormat="1" applyFont="1" applyAlignment="1">
      <alignment horizontal="left"/>
      <protection/>
    </xf>
    <xf numFmtId="0" fontId="4" fillId="0" borderId="0" xfId="52" applyAlignment="1">
      <alignment horizontal="center"/>
      <protection/>
    </xf>
    <xf numFmtId="0" fontId="4" fillId="0" borderId="11" xfId="52" applyBorder="1">
      <alignment/>
      <protection/>
    </xf>
    <xf numFmtId="172" fontId="4" fillId="0" borderId="0" xfId="52" applyNumberFormat="1">
      <alignment/>
      <protection/>
    </xf>
    <xf numFmtId="172" fontId="4" fillId="0" borderId="0" xfId="52" applyNumberFormat="1" applyBorder="1">
      <alignment/>
      <protection/>
    </xf>
    <xf numFmtId="3" fontId="4" fillId="0" borderId="0" xfId="52" applyNumberFormat="1" applyFill="1" applyBorder="1" applyAlignment="1">
      <alignment horizontal="right"/>
      <protection/>
    </xf>
    <xf numFmtId="0" fontId="4" fillId="33" borderId="12" xfId="52" applyFill="1" applyBorder="1">
      <alignment/>
      <protection/>
    </xf>
    <xf numFmtId="0" fontId="4" fillId="0" borderId="0" xfId="52" applyAlignment="1">
      <alignment horizontal="right"/>
      <protection/>
    </xf>
    <xf numFmtId="0" fontId="4" fillId="33" borderId="13" xfId="52" applyFill="1" applyBorder="1">
      <alignment/>
      <protection/>
    </xf>
    <xf numFmtId="172" fontId="4" fillId="33" borderId="14" xfId="52" applyNumberFormat="1" applyFill="1" applyBorder="1">
      <alignment/>
      <protection/>
    </xf>
    <xf numFmtId="10" fontId="4" fillId="0" borderId="0" xfId="52" applyNumberFormat="1">
      <alignment/>
      <protection/>
    </xf>
    <xf numFmtId="10" fontId="4" fillId="0" borderId="0" xfId="52" applyNumberFormat="1" applyBorder="1" applyAlignment="1">
      <alignment horizontal="left"/>
      <protection/>
    </xf>
    <xf numFmtId="172" fontId="4" fillId="33" borderId="11" xfId="52" applyNumberFormat="1" applyFill="1" applyBorder="1">
      <alignment/>
      <protection/>
    </xf>
    <xf numFmtId="0" fontId="4" fillId="33" borderId="15" xfId="52" applyFill="1" applyBorder="1">
      <alignment/>
      <protection/>
    </xf>
    <xf numFmtId="0" fontId="4" fillId="33" borderId="16" xfId="52" applyFill="1" applyBorder="1">
      <alignment/>
      <protection/>
    </xf>
    <xf numFmtId="0" fontId="4" fillId="0" borderId="0" xfId="52" applyFill="1" applyBorder="1">
      <alignment/>
      <protection/>
    </xf>
    <xf numFmtId="172" fontId="4" fillId="0" borderId="0" xfId="52" applyNumberFormat="1" applyFill="1" applyBorder="1">
      <alignment/>
      <protection/>
    </xf>
    <xf numFmtId="0" fontId="4" fillId="0" borderId="0" xfId="52" applyNumberFormat="1">
      <alignment/>
      <protection/>
    </xf>
    <xf numFmtId="178" fontId="8" fillId="0" borderId="0" xfId="52" applyNumberFormat="1" applyFont="1">
      <alignment/>
      <protection/>
    </xf>
    <xf numFmtId="178" fontId="8" fillId="0" borderId="0" xfId="52" applyNumberFormat="1" applyFont="1" applyAlignment="1">
      <alignment horizontal="left"/>
      <protection/>
    </xf>
    <xf numFmtId="0" fontId="4" fillId="0" borderId="12" xfId="52" applyFill="1" applyBorder="1">
      <alignment/>
      <protection/>
    </xf>
    <xf numFmtId="0" fontId="4" fillId="0" borderId="15" xfId="52" applyFill="1" applyBorder="1">
      <alignment/>
      <protection/>
    </xf>
    <xf numFmtId="3" fontId="4" fillId="0" borderId="16" xfId="52" applyNumberFormat="1" applyFill="1" applyBorder="1">
      <alignment/>
      <protection/>
    </xf>
    <xf numFmtId="0" fontId="4" fillId="0" borderId="15" xfId="52" applyBorder="1">
      <alignment/>
      <protection/>
    </xf>
    <xf numFmtId="3" fontId="4" fillId="0" borderId="16" xfId="52" applyNumberFormat="1" applyFont="1" applyBorder="1">
      <alignment/>
      <protection/>
    </xf>
    <xf numFmtId="0" fontId="4" fillId="0" borderId="16" xfId="52" applyFill="1" applyBorder="1">
      <alignment/>
      <protection/>
    </xf>
    <xf numFmtId="0" fontId="4" fillId="0" borderId="16" xfId="52" applyBorder="1">
      <alignment/>
      <protection/>
    </xf>
    <xf numFmtId="0" fontId="4" fillId="0" borderId="13" xfId="52" applyFill="1" applyBorder="1">
      <alignment/>
      <protection/>
    </xf>
    <xf numFmtId="0" fontId="4" fillId="0" borderId="14" xfId="52" applyFill="1" applyBorder="1">
      <alignment/>
      <protection/>
    </xf>
    <xf numFmtId="0" fontId="4" fillId="0" borderId="14" xfId="52" applyBorder="1">
      <alignment/>
      <protection/>
    </xf>
    <xf numFmtId="0" fontId="4" fillId="0" borderId="0" xfId="52" applyFill="1">
      <alignment/>
      <protection/>
    </xf>
    <xf numFmtId="0" fontId="4" fillId="0" borderId="0" xfId="52" applyFont="1" applyFill="1" applyBorder="1">
      <alignment/>
      <protection/>
    </xf>
    <xf numFmtId="0" fontId="4" fillId="0" borderId="11" xfId="52" applyFont="1" applyBorder="1">
      <alignment/>
      <protection/>
    </xf>
    <xf numFmtId="0" fontId="4" fillId="0" borderId="15" xfId="52" applyFont="1" applyBorder="1">
      <alignment/>
      <protection/>
    </xf>
    <xf numFmtId="0" fontId="4" fillId="0" borderId="11" xfId="52" applyFont="1" applyFill="1" applyBorder="1">
      <alignment/>
      <protection/>
    </xf>
    <xf numFmtId="0" fontId="4" fillId="0" borderId="13" xfId="52" applyFont="1" applyFill="1" applyBorder="1">
      <alignment/>
      <protection/>
    </xf>
    <xf numFmtId="172" fontId="4" fillId="0" borderId="14" xfId="52" applyNumberFormat="1" applyFill="1" applyBorder="1">
      <alignment/>
      <protection/>
    </xf>
    <xf numFmtId="10" fontId="4" fillId="0" borderId="0" xfId="52" applyNumberFormat="1" applyBorder="1">
      <alignment/>
      <protection/>
    </xf>
    <xf numFmtId="0" fontId="4" fillId="33" borderId="11" xfId="52" applyFont="1" applyFill="1" applyBorder="1">
      <alignment/>
      <protection/>
    </xf>
    <xf numFmtId="0" fontId="4" fillId="33" borderId="15" xfId="52" applyFont="1" applyFill="1" applyBorder="1">
      <alignment/>
      <protection/>
    </xf>
    <xf numFmtId="0" fontId="4" fillId="0" borderId="0" xfId="52" applyFont="1">
      <alignment/>
      <protection/>
    </xf>
    <xf numFmtId="0" fontId="10" fillId="0" borderId="0" xfId="52" applyFont="1">
      <alignment/>
      <protection/>
    </xf>
    <xf numFmtId="10" fontId="4" fillId="0" borderId="0" xfId="52" applyNumberFormat="1" applyFont="1" applyAlignment="1">
      <alignment horizontal="center"/>
      <protection/>
    </xf>
    <xf numFmtId="0" fontId="4" fillId="0" borderId="15" xfId="52" applyFont="1" applyFill="1" applyBorder="1">
      <alignment/>
      <protection/>
    </xf>
    <xf numFmtId="2" fontId="4" fillId="0" borderId="13" xfId="52" applyNumberFormat="1" applyFill="1" applyBorder="1">
      <alignment/>
      <protection/>
    </xf>
    <xf numFmtId="0" fontId="4" fillId="0" borderId="0" xfId="52" applyFont="1" applyAlignment="1">
      <alignment horizontal="left"/>
      <protection/>
    </xf>
    <xf numFmtId="3" fontId="4" fillId="0" borderId="16" xfId="52" applyNumberFormat="1" applyFont="1" applyFill="1" applyBorder="1">
      <alignment/>
      <protection/>
    </xf>
    <xf numFmtId="172" fontId="4" fillId="0" borderId="16" xfId="52" applyNumberFormat="1" applyBorder="1">
      <alignment/>
      <protection/>
    </xf>
    <xf numFmtId="0" fontId="1" fillId="0" borderId="0" xfId="52" applyFont="1" applyAlignment="1">
      <alignment horizontal="center"/>
      <protection/>
    </xf>
    <xf numFmtId="0" fontId="0" fillId="0" borderId="0" xfId="0" applyAlignment="1">
      <alignment/>
    </xf>
    <xf numFmtId="3" fontId="4" fillId="0" borderId="0" xfId="52" applyNumberFormat="1" applyFont="1" applyBorder="1">
      <alignment/>
      <protection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3" fontId="4" fillId="0" borderId="0" xfId="52" applyNumberFormat="1">
      <alignment/>
      <protection/>
    </xf>
    <xf numFmtId="4" fontId="4" fillId="0" borderId="0" xfId="52" applyNumberFormat="1" applyBorder="1">
      <alignment/>
      <protection/>
    </xf>
    <xf numFmtId="4" fontId="4" fillId="0" borderId="0" xfId="52" applyNumberFormat="1">
      <alignment/>
      <protection/>
    </xf>
    <xf numFmtId="172" fontId="9" fillId="0" borderId="0" xfId="52" applyNumberFormat="1" applyFont="1" applyBorder="1">
      <alignment/>
      <protection/>
    </xf>
    <xf numFmtId="4" fontId="2" fillId="0" borderId="0" xfId="0" applyNumberFormat="1" applyFont="1" applyAlignment="1" quotePrefix="1">
      <alignment/>
    </xf>
    <xf numFmtId="0" fontId="9" fillId="0" borderId="0" xfId="52" applyFont="1" applyBorder="1">
      <alignment/>
      <protection/>
    </xf>
    <xf numFmtId="172" fontId="4" fillId="0" borderId="12" xfId="52" applyNumberFormat="1" applyFill="1" applyBorder="1">
      <alignment/>
      <protection/>
    </xf>
    <xf numFmtId="3" fontId="9" fillId="0" borderId="0" xfId="52" applyNumberFormat="1" applyFont="1">
      <alignment/>
      <protection/>
    </xf>
    <xf numFmtId="0" fontId="9" fillId="0" borderId="0" xfId="52" applyFont="1" applyAlignment="1">
      <alignment horizontal="right"/>
      <protection/>
    </xf>
    <xf numFmtId="0" fontId="9" fillId="0" borderId="0" xfId="52" applyFont="1" applyAlignment="1">
      <alignment horizontal="left"/>
      <protection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172" fontId="9" fillId="0" borderId="0" xfId="52" applyNumberFormat="1" applyFont="1" applyAlignment="1">
      <alignment horizontal="center"/>
      <protection/>
    </xf>
    <xf numFmtId="172" fontId="9" fillId="0" borderId="0" xfId="52" applyNumberFormat="1" applyFont="1" applyBorder="1" applyAlignment="1">
      <alignment horizontal="center"/>
      <protection/>
    </xf>
    <xf numFmtId="172" fontId="9" fillId="0" borderId="0" xfId="52" applyNumberFormat="1" applyFont="1">
      <alignment/>
      <protection/>
    </xf>
    <xf numFmtId="0" fontId="4" fillId="0" borderId="0" xfId="52" applyFont="1" applyBorder="1">
      <alignment/>
      <protection/>
    </xf>
    <xf numFmtId="3" fontId="9" fillId="0" borderId="0" xfId="52" applyNumberFormat="1" applyFont="1" applyAlignment="1">
      <alignment horizontal="center"/>
      <protection/>
    </xf>
    <xf numFmtId="172" fontId="0" fillId="0" borderId="0" xfId="0" applyNumberFormat="1" applyAlignment="1">
      <alignment horizontal="center"/>
    </xf>
    <xf numFmtId="172" fontId="9" fillId="0" borderId="0" xfId="52" applyNumberFormat="1" applyFont="1" applyAlignment="1">
      <alignment horizontal="right"/>
      <protection/>
    </xf>
    <xf numFmtId="0" fontId="9" fillId="0" borderId="0" xfId="52" applyFont="1" applyAlignment="1">
      <alignment horizontal="center"/>
      <protection/>
    </xf>
    <xf numFmtId="0" fontId="16" fillId="0" borderId="0" xfId="0" applyFont="1" applyAlignment="1">
      <alignment horizontal="center" vertical="center"/>
    </xf>
    <xf numFmtId="0" fontId="4" fillId="0" borderId="17" xfId="52" applyFill="1" applyBorder="1">
      <alignment/>
      <protection/>
    </xf>
    <xf numFmtId="199" fontId="9" fillId="0" borderId="0" xfId="52" applyNumberFormat="1" applyFont="1">
      <alignment/>
      <protection/>
    </xf>
    <xf numFmtId="199" fontId="9" fillId="0" borderId="10" xfId="52" applyNumberFormat="1" applyFont="1" applyBorder="1">
      <alignment/>
      <protection/>
    </xf>
    <xf numFmtId="0" fontId="4" fillId="0" borderId="0" xfId="52" applyFont="1" applyAlignment="1">
      <alignment vertical="center"/>
      <protection/>
    </xf>
    <xf numFmtId="10" fontId="9" fillId="0" borderId="0" xfId="52" applyNumberFormat="1" applyFont="1" applyBorder="1">
      <alignment/>
      <protection/>
    </xf>
    <xf numFmtId="10" fontId="9" fillId="0" borderId="0" xfId="52" applyNumberFormat="1" applyFont="1" applyBorder="1" applyAlignment="1">
      <alignment horizontal="center"/>
      <protection/>
    </xf>
    <xf numFmtId="178" fontId="1" fillId="0" borderId="0" xfId="52" applyNumberFormat="1" applyFont="1">
      <alignment/>
      <protection/>
    </xf>
    <xf numFmtId="4" fontId="17" fillId="0" borderId="0" xfId="0" applyNumberFormat="1" applyFont="1" applyAlignment="1">
      <alignment/>
    </xf>
    <xf numFmtId="4" fontId="17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 horizontal="left"/>
    </xf>
    <xf numFmtId="172" fontId="4" fillId="0" borderId="0" xfId="52" applyNumberFormat="1" applyAlignment="1">
      <alignment horizontal="center"/>
      <protection/>
    </xf>
    <xf numFmtId="0" fontId="9" fillId="0" borderId="10" xfId="52" applyFont="1" applyBorder="1">
      <alignment/>
      <protection/>
    </xf>
    <xf numFmtId="3" fontId="9" fillId="0" borderId="10" xfId="52" applyNumberFormat="1" applyFont="1" applyBorder="1">
      <alignment/>
      <protection/>
    </xf>
    <xf numFmtId="172" fontId="9" fillId="0" borderId="10" xfId="52" applyNumberFormat="1" applyFont="1" applyBorder="1">
      <alignment/>
      <protection/>
    </xf>
    <xf numFmtId="0" fontId="2" fillId="0" borderId="0" xfId="52" applyFont="1">
      <alignment/>
      <protection/>
    </xf>
    <xf numFmtId="3" fontId="4" fillId="0" borderId="0" xfId="52" applyNumberFormat="1" applyFont="1" applyFill="1" applyBorder="1" applyAlignment="1">
      <alignment horizontal="right"/>
      <protection/>
    </xf>
    <xf numFmtId="0" fontId="4" fillId="0" borderId="0" xfId="52" applyFont="1" applyAlignment="1">
      <alignment horizontal="right"/>
      <protection/>
    </xf>
    <xf numFmtId="3" fontId="4" fillId="0" borderId="0" xfId="52" applyNumberFormat="1" applyFont="1" applyFill="1" applyBorder="1">
      <alignment/>
      <protection/>
    </xf>
    <xf numFmtId="3" fontId="4" fillId="0" borderId="0" xfId="52" applyNumberFormat="1" applyFont="1" applyFill="1" applyBorder="1" applyAlignment="1">
      <alignment horizontal="left"/>
      <protection/>
    </xf>
    <xf numFmtId="10" fontId="4" fillId="0" borderId="0" xfId="52" applyNumberFormat="1" applyFont="1">
      <alignment/>
      <protection/>
    </xf>
    <xf numFmtId="10" fontId="4" fillId="0" borderId="0" xfId="52" applyNumberFormat="1" applyFont="1" applyAlignment="1">
      <alignment horizontal="left"/>
      <protection/>
    </xf>
    <xf numFmtId="10" fontId="4" fillId="0" borderId="0" xfId="52" applyNumberFormat="1" applyFont="1" applyAlignment="1">
      <alignment horizontal="right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52" applyFont="1" applyAlignment="1">
      <alignment horizontal="center"/>
      <protection/>
    </xf>
    <xf numFmtId="172" fontId="9" fillId="0" borderId="0" xfId="52" applyNumberFormat="1" applyFont="1" applyAlignment="1">
      <alignment horizontal="center"/>
      <protection/>
    </xf>
    <xf numFmtId="172" fontId="2" fillId="0" borderId="0" xfId="0" applyNumberFormat="1" applyFont="1" applyAlignment="1">
      <alignment horizontal="center"/>
    </xf>
    <xf numFmtId="172" fontId="9" fillId="0" borderId="10" xfId="52" applyNumberFormat="1" applyFont="1" applyBorder="1" applyAlignment="1">
      <alignment horizontal="center"/>
      <protection/>
    </xf>
    <xf numFmtId="172" fontId="4" fillId="0" borderId="10" xfId="52" applyNumberFormat="1" applyBorder="1" applyAlignment="1">
      <alignment horizontal="center"/>
      <protection/>
    </xf>
    <xf numFmtId="172" fontId="9" fillId="0" borderId="17" xfId="52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178" fontId="9" fillId="0" borderId="0" xfId="52" applyNumberFormat="1" applyFont="1" applyAlignment="1">
      <alignment horizontal="center"/>
      <protection/>
    </xf>
    <xf numFmtId="178" fontId="0" fillId="0" borderId="0" xfId="0" applyNumberFormat="1" applyAlignment="1">
      <alignment horizontal="center"/>
    </xf>
    <xf numFmtId="172" fontId="9" fillId="0" borderId="0" xfId="52" applyNumberFormat="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4" fillId="0" borderId="17" xfId="52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4" fillId="0" borderId="0" xfId="52" applyFont="1" applyAlignment="1">
      <alignment horizontal="center"/>
      <protection/>
    </xf>
    <xf numFmtId="172" fontId="4" fillId="0" borderId="0" xfId="52" applyNumberFormat="1" applyAlignment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_Berechnung gebührenfähige Gemeinkosten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742950</xdr:colOff>
      <xdr:row>12</xdr:row>
      <xdr:rowOff>0</xdr:rowOff>
    </xdr:from>
    <xdr:to>
      <xdr:col>13</xdr:col>
      <xdr:colOff>371475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210800" y="2428875"/>
          <a:ext cx="923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15</xdr:row>
      <xdr:rowOff>152400</xdr:rowOff>
    </xdr:from>
    <xdr:to>
      <xdr:col>11</xdr:col>
      <xdr:colOff>895350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591425" y="3067050"/>
          <a:ext cx="1790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27</xdr:row>
      <xdr:rowOff>9525</xdr:rowOff>
    </xdr:from>
    <xdr:to>
      <xdr:col>10</xdr:col>
      <xdr:colOff>66675</xdr:colOff>
      <xdr:row>28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7486650" y="48672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0</xdr:rowOff>
    </xdr:from>
    <xdr:to>
      <xdr:col>15</xdr:col>
      <xdr:colOff>9525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>
          <a:off x="12944475" y="3076575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1009650</xdr:colOff>
      <xdr:row>26</xdr:row>
      <xdr:rowOff>152400</xdr:rowOff>
    </xdr:from>
    <xdr:to>
      <xdr:col>15</xdr:col>
      <xdr:colOff>0</xdr:colOff>
      <xdr:row>35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2925425" y="4848225"/>
          <a:ext cx="95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933450</xdr:colOff>
      <xdr:row>6</xdr:row>
      <xdr:rowOff>0</xdr:rowOff>
    </xdr:from>
    <xdr:to>
      <xdr:col>7</xdr:col>
      <xdr:colOff>933450</xdr:colOff>
      <xdr:row>10</xdr:row>
      <xdr:rowOff>9525</xdr:rowOff>
    </xdr:to>
    <xdr:sp>
      <xdr:nvSpPr>
        <xdr:cNvPr id="6" name="Line 6"/>
        <xdr:cNvSpPr>
          <a:spLocks/>
        </xdr:cNvSpPr>
      </xdr:nvSpPr>
      <xdr:spPr>
        <a:xfrm>
          <a:off x="5457825" y="1390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12</xdr:row>
      <xdr:rowOff>9525</xdr:rowOff>
    </xdr:from>
    <xdr:to>
      <xdr:col>10</xdr:col>
      <xdr:colOff>19050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734050" y="2438400"/>
          <a:ext cx="17049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714375</xdr:colOff>
      <xdr:row>6</xdr:row>
      <xdr:rowOff>0</xdr:rowOff>
    </xdr:from>
    <xdr:to>
      <xdr:col>14</xdr:col>
      <xdr:colOff>714375</xdr:colOff>
      <xdr:row>10</xdr:row>
      <xdr:rowOff>9525</xdr:rowOff>
    </xdr:to>
    <xdr:sp>
      <xdr:nvSpPr>
        <xdr:cNvPr id="8" name="Line 8"/>
        <xdr:cNvSpPr>
          <a:spLocks/>
        </xdr:cNvSpPr>
      </xdr:nvSpPr>
      <xdr:spPr>
        <a:xfrm>
          <a:off x="12630150" y="1390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</xdr:row>
      <xdr:rowOff>0</xdr:rowOff>
    </xdr:from>
    <xdr:to>
      <xdr:col>13</xdr:col>
      <xdr:colOff>257175</xdr:colOff>
      <xdr:row>9</xdr:row>
      <xdr:rowOff>152400</xdr:rowOff>
    </xdr:to>
    <xdr:sp>
      <xdr:nvSpPr>
        <xdr:cNvPr id="9" name="Line 9"/>
        <xdr:cNvSpPr>
          <a:spLocks/>
        </xdr:cNvSpPr>
      </xdr:nvSpPr>
      <xdr:spPr>
        <a:xfrm>
          <a:off x="6067425" y="1390650"/>
          <a:ext cx="49530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6</xdr:row>
      <xdr:rowOff>19050</xdr:rowOff>
    </xdr:from>
    <xdr:to>
      <xdr:col>14</xdr:col>
      <xdr:colOff>514350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219825" y="1409700"/>
          <a:ext cx="6210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21</xdr:row>
      <xdr:rowOff>152400</xdr:rowOff>
    </xdr:from>
    <xdr:to>
      <xdr:col>10</xdr:col>
      <xdr:colOff>66675</xdr:colOff>
      <xdr:row>23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7486650" y="4038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12</xdr:row>
      <xdr:rowOff>0</xdr:rowOff>
    </xdr:from>
    <xdr:to>
      <xdr:col>15</xdr:col>
      <xdr:colOff>323850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12553950" y="2428875"/>
          <a:ext cx="704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31</xdr:row>
      <xdr:rowOff>0</xdr:rowOff>
    </xdr:from>
    <xdr:to>
      <xdr:col>9</xdr:col>
      <xdr:colOff>790575</xdr:colOff>
      <xdr:row>32</xdr:row>
      <xdr:rowOff>152400</xdr:rowOff>
    </xdr:to>
    <xdr:sp>
      <xdr:nvSpPr>
        <xdr:cNvPr id="13" name="Line 13"/>
        <xdr:cNvSpPr>
          <a:spLocks/>
        </xdr:cNvSpPr>
      </xdr:nvSpPr>
      <xdr:spPr>
        <a:xfrm flipH="1">
          <a:off x="5905500" y="5505450"/>
          <a:ext cx="1447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31</xdr:row>
      <xdr:rowOff>0</xdr:rowOff>
    </xdr:from>
    <xdr:to>
      <xdr:col>12</xdr:col>
      <xdr:colOff>0</xdr:colOff>
      <xdr:row>33</xdr:row>
      <xdr:rowOff>0</xdr:rowOff>
    </xdr:to>
    <xdr:sp>
      <xdr:nvSpPr>
        <xdr:cNvPr id="14" name="Line 14"/>
        <xdr:cNvSpPr>
          <a:spLocks/>
        </xdr:cNvSpPr>
      </xdr:nvSpPr>
      <xdr:spPr>
        <a:xfrm>
          <a:off x="7648575" y="5505450"/>
          <a:ext cx="1819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44</xdr:row>
      <xdr:rowOff>0</xdr:rowOff>
    </xdr:from>
    <xdr:to>
      <xdr:col>7</xdr:col>
      <xdr:colOff>981075</xdr:colOff>
      <xdr:row>44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5495925" y="761047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42</xdr:row>
      <xdr:rowOff>152400</xdr:rowOff>
    </xdr:from>
    <xdr:to>
      <xdr:col>12</xdr:col>
      <xdr:colOff>85725</xdr:colOff>
      <xdr:row>44</xdr:row>
      <xdr:rowOff>152400</xdr:rowOff>
    </xdr:to>
    <xdr:sp>
      <xdr:nvSpPr>
        <xdr:cNvPr id="16" name="Line 16"/>
        <xdr:cNvSpPr>
          <a:spLocks/>
        </xdr:cNvSpPr>
      </xdr:nvSpPr>
      <xdr:spPr>
        <a:xfrm flipH="1">
          <a:off x="9553575" y="74390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34</xdr:row>
      <xdr:rowOff>152400</xdr:rowOff>
    </xdr:from>
    <xdr:to>
      <xdr:col>7</xdr:col>
      <xdr:colOff>971550</xdr:colOff>
      <xdr:row>36</xdr:row>
      <xdr:rowOff>0</xdr:rowOff>
    </xdr:to>
    <xdr:sp>
      <xdr:nvSpPr>
        <xdr:cNvPr id="17" name="Line 17"/>
        <xdr:cNvSpPr>
          <a:spLocks/>
        </xdr:cNvSpPr>
      </xdr:nvSpPr>
      <xdr:spPr>
        <a:xfrm>
          <a:off x="5495925" y="61436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39</xdr:row>
      <xdr:rowOff>0</xdr:rowOff>
    </xdr:from>
    <xdr:to>
      <xdr:col>7</xdr:col>
      <xdr:colOff>971550</xdr:colOff>
      <xdr:row>39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5495925" y="6800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35</xdr:row>
      <xdr:rowOff>9525</xdr:rowOff>
    </xdr:from>
    <xdr:to>
      <xdr:col>12</xdr:col>
      <xdr:colOff>95250</xdr:colOff>
      <xdr:row>35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9563100" y="6162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39</xdr:row>
      <xdr:rowOff>0</xdr:rowOff>
    </xdr:from>
    <xdr:to>
      <xdr:col>12</xdr:col>
      <xdr:colOff>95250</xdr:colOff>
      <xdr:row>40</xdr:row>
      <xdr:rowOff>152400</xdr:rowOff>
    </xdr:to>
    <xdr:sp>
      <xdr:nvSpPr>
        <xdr:cNvPr id="20" name="Line 20"/>
        <xdr:cNvSpPr>
          <a:spLocks/>
        </xdr:cNvSpPr>
      </xdr:nvSpPr>
      <xdr:spPr>
        <a:xfrm flipH="1">
          <a:off x="9563100" y="6800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0</xdr:rowOff>
    </xdr:from>
    <xdr:to>
      <xdr:col>15</xdr:col>
      <xdr:colOff>0</xdr:colOff>
      <xdr:row>40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12934950" y="6800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57</xdr:row>
      <xdr:rowOff>9525</xdr:rowOff>
    </xdr:from>
    <xdr:to>
      <xdr:col>3</xdr:col>
      <xdr:colOff>666750</xdr:colOff>
      <xdr:row>65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476750" y="11068050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65</xdr:row>
      <xdr:rowOff>180975</xdr:rowOff>
    </xdr:from>
    <xdr:to>
      <xdr:col>3</xdr:col>
      <xdr:colOff>1333500</xdr:colOff>
      <xdr:row>67</xdr:row>
      <xdr:rowOff>85725</xdr:rowOff>
    </xdr:to>
    <xdr:sp>
      <xdr:nvSpPr>
        <xdr:cNvPr id="2" name="Line 2"/>
        <xdr:cNvSpPr>
          <a:spLocks/>
        </xdr:cNvSpPr>
      </xdr:nvSpPr>
      <xdr:spPr>
        <a:xfrm>
          <a:off x="4486275" y="12763500"/>
          <a:ext cx="657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65</xdr:row>
      <xdr:rowOff>180975</xdr:rowOff>
    </xdr:from>
    <xdr:to>
      <xdr:col>3</xdr:col>
      <xdr:colOff>657225</xdr:colOff>
      <xdr:row>67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3800475" y="12763500"/>
          <a:ext cx="6667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PageLayoutView="0" workbookViewId="0" topLeftCell="A1">
      <selection activeCell="F11" sqref="F11"/>
    </sheetView>
  </sheetViews>
  <sheetFormatPr defaultColWidth="8.88671875" defaultRowHeight="15"/>
  <cols>
    <col min="1" max="1" width="14.4453125" style="16" customWidth="1"/>
    <col min="2" max="2" width="5.77734375" style="16" customWidth="1"/>
    <col min="3" max="3" width="2.77734375" style="16" customWidth="1"/>
    <col min="4" max="4" width="8.88671875" style="16" customWidth="1"/>
    <col min="5" max="5" width="2.6640625" style="16" customWidth="1"/>
    <col min="6" max="6" width="8.5546875" style="16" customWidth="1"/>
    <col min="7" max="7" width="9.6640625" style="16" customWidth="1"/>
    <col min="8" max="8" width="13.77734375" style="16" customWidth="1"/>
    <col min="9" max="9" width="9.99609375" style="16" customWidth="1"/>
    <col min="10" max="10" width="9.99609375" style="16" bestFit="1" customWidth="1"/>
    <col min="11" max="11" width="12.4453125" style="16" customWidth="1"/>
    <col min="12" max="12" width="11.4453125" style="16" customWidth="1"/>
    <col min="13" max="13" width="15.10546875" style="16" customWidth="1"/>
    <col min="14" max="14" width="13.4453125" style="16" customWidth="1"/>
    <col min="15" max="15" width="11.88671875" style="16" customWidth="1"/>
    <col min="16" max="16" width="11.21484375" style="16" customWidth="1"/>
    <col min="17" max="17" width="10.5546875" style="16" customWidth="1"/>
    <col min="18" max="18" width="9.10546875" style="16" bestFit="1" customWidth="1"/>
    <col min="19" max="16384" width="8.88671875" style="16" customWidth="1"/>
  </cols>
  <sheetData>
    <row r="1" spans="1:16" ht="18">
      <c r="A1" s="123"/>
      <c r="B1" s="15"/>
      <c r="C1" s="15"/>
      <c r="D1" s="82" t="s">
        <v>60</v>
      </c>
      <c r="E1" s="83"/>
      <c r="F1" s="83"/>
      <c r="G1" s="131" t="s">
        <v>61</v>
      </c>
      <c r="H1" s="132"/>
      <c r="I1" s="132"/>
      <c r="J1" s="132"/>
      <c r="K1" s="132"/>
      <c r="L1" s="132"/>
      <c r="M1" s="132"/>
      <c r="N1" s="83"/>
      <c r="O1" s="83"/>
      <c r="P1" s="85"/>
    </row>
    <row r="2" spans="1:14" ht="18">
      <c r="A2" s="14"/>
      <c r="B2" s="18"/>
      <c r="D2" s="114"/>
      <c r="E2" s="83"/>
      <c r="F2" s="83"/>
      <c r="G2" s="131" t="s">
        <v>99</v>
      </c>
      <c r="H2" s="132"/>
      <c r="I2" s="132"/>
      <c r="J2" s="132"/>
      <c r="K2" s="132"/>
      <c r="L2" s="132"/>
      <c r="M2" s="132"/>
      <c r="N2" s="83"/>
    </row>
    <row r="3" spans="1:13" ht="30">
      <c r="A3" s="107"/>
      <c r="B3" s="15"/>
      <c r="C3" s="15"/>
      <c r="I3" s="14"/>
      <c r="K3" s="14"/>
      <c r="L3" s="14"/>
      <c r="M3" s="17"/>
    </row>
    <row r="4" ht="12.75"/>
    <row r="5" spans="1:16" ht="18">
      <c r="A5" s="25" t="s">
        <v>27</v>
      </c>
      <c r="H5" s="20" t="s">
        <v>24</v>
      </c>
      <c r="I5" s="21"/>
      <c r="J5" s="22"/>
      <c r="L5" s="87">
        <f>D7+D8</f>
        <v>93837814.53999999</v>
      </c>
      <c r="O5" s="20" t="s">
        <v>25</v>
      </c>
      <c r="P5" s="21"/>
    </row>
    <row r="6" spans="1:16" ht="12.75">
      <c r="A6" s="30"/>
      <c r="D6" s="31"/>
      <c r="H6" s="23" t="s">
        <v>26</v>
      </c>
      <c r="I6" s="24">
        <f>D7</f>
        <v>48496330.32993472</v>
      </c>
      <c r="J6" s="22"/>
      <c r="O6" s="23" t="s">
        <v>26</v>
      </c>
      <c r="P6" s="24">
        <f>D8</f>
        <v>45341484.21006527</v>
      </c>
    </row>
    <row r="7" spans="1:13" ht="12.75">
      <c r="A7" s="30" t="s">
        <v>24</v>
      </c>
      <c r="D7" s="124">
        <f>NK2015!E58</f>
        <v>48496330.32993472</v>
      </c>
      <c r="E7" s="74" t="s">
        <v>30</v>
      </c>
      <c r="F7" s="74"/>
      <c r="K7" s="28">
        <f>F37</f>
        <v>0.553</v>
      </c>
      <c r="M7" s="44">
        <f>D40</f>
        <v>0.8908</v>
      </c>
    </row>
    <row r="8" spans="1:15" ht="12.75">
      <c r="A8" s="30" t="s">
        <v>25</v>
      </c>
      <c r="D8" s="124">
        <f>NK2015!E60</f>
        <v>45341484.21006527</v>
      </c>
      <c r="E8" s="74" t="s">
        <v>30</v>
      </c>
      <c r="F8" s="74"/>
      <c r="H8" s="26"/>
      <c r="O8" s="27"/>
    </row>
    <row r="9" spans="1:15" ht="12.75">
      <c r="A9" s="30" t="s">
        <v>32</v>
      </c>
      <c r="B9" s="30"/>
      <c r="C9" s="30"/>
      <c r="D9" s="124">
        <f>-(NK2015!C70)</f>
        <v>-4688206.24</v>
      </c>
      <c r="E9" s="74" t="s">
        <v>30</v>
      </c>
      <c r="F9" s="74"/>
      <c r="H9" s="26">
        <f>D37</f>
        <v>0.447</v>
      </c>
      <c r="J9" s="28"/>
      <c r="M9" s="29"/>
      <c r="O9" s="26">
        <f>F40</f>
        <v>0.1092</v>
      </c>
    </row>
    <row r="10" spans="1:6" ht="12.75">
      <c r="A10" s="30" t="s">
        <v>33</v>
      </c>
      <c r="B10" s="30"/>
      <c r="C10" s="30"/>
      <c r="D10" s="124">
        <f>-(NK2015!E70)</f>
        <v>-455362.23</v>
      </c>
      <c r="E10" s="74" t="s">
        <v>30</v>
      </c>
      <c r="F10" s="74"/>
    </row>
    <row r="11" spans="1:15" ht="18">
      <c r="A11" s="111" t="s">
        <v>71</v>
      </c>
      <c r="D11" s="74"/>
      <c r="E11" s="74"/>
      <c r="F11" s="74"/>
      <c r="H11" s="20" t="s">
        <v>28</v>
      </c>
      <c r="I11" s="21"/>
      <c r="N11" s="20" t="s">
        <v>29</v>
      </c>
      <c r="O11" s="21"/>
    </row>
    <row r="12" spans="1:15" ht="12.75">
      <c r="A12" s="74" t="s">
        <v>72</v>
      </c>
      <c r="D12" s="124">
        <v>693402.89</v>
      </c>
      <c r="E12" s="74" t="s">
        <v>30</v>
      </c>
      <c r="F12" s="74"/>
      <c r="H12" s="32" t="s">
        <v>31</v>
      </c>
      <c r="I12" s="24">
        <f>D7*D37+P6*D40</f>
        <v>62068053.791806966</v>
      </c>
      <c r="N12" s="32" t="s">
        <v>31</v>
      </c>
      <c r="O12" s="24">
        <f>D8*F40+D7*F37</f>
        <v>31769760.74819303</v>
      </c>
    </row>
    <row r="13" spans="1:17" ht="12.75" customHeight="1">
      <c r="A13" s="30" t="s">
        <v>94</v>
      </c>
      <c r="D13" s="124">
        <v>-450000</v>
      </c>
      <c r="E13" s="74" t="s">
        <v>30</v>
      </c>
      <c r="F13" s="74"/>
      <c r="M13" s="33">
        <f>D43</f>
        <v>0.705327677178584</v>
      </c>
      <c r="N13" s="144"/>
      <c r="O13" s="145"/>
      <c r="P13" s="34">
        <f>F43</f>
        <v>0.294672322821416</v>
      </c>
      <c r="Q13" s="35"/>
    </row>
    <row r="14" spans="1:15" ht="12.75" customHeight="1">
      <c r="A14" s="74" t="s">
        <v>91</v>
      </c>
      <c r="D14" s="124">
        <v>0</v>
      </c>
      <c r="E14" s="74" t="s">
        <v>30</v>
      </c>
      <c r="F14" s="74"/>
      <c r="N14" s="146"/>
      <c r="O14" s="132"/>
    </row>
    <row r="15" spans="1:16" ht="12.75">
      <c r="A15" s="74" t="s">
        <v>73</v>
      </c>
      <c r="D15" s="74"/>
      <c r="E15" s="74"/>
      <c r="F15" s="74"/>
      <c r="L15" s="36" t="s">
        <v>34</v>
      </c>
      <c r="M15" s="21"/>
      <c r="O15" s="36" t="s">
        <v>35</v>
      </c>
      <c r="P15" s="21"/>
    </row>
    <row r="16" spans="1:18" ht="12.75">
      <c r="A16" s="74" t="s">
        <v>74</v>
      </c>
      <c r="D16" s="74"/>
      <c r="E16" s="74"/>
      <c r="F16" s="74"/>
      <c r="I16" s="26">
        <f>D46</f>
        <v>0.7347406008930943</v>
      </c>
      <c r="L16" s="23"/>
      <c r="M16" s="24">
        <f>O12*M13</f>
        <v>22408091.553042345</v>
      </c>
      <c r="O16" s="23"/>
      <c r="P16" s="24">
        <f>O12*P13</f>
        <v>9361669.195150686</v>
      </c>
      <c r="R16" s="37"/>
    </row>
    <row r="17" spans="1:17" ht="12.75">
      <c r="A17" s="74" t="s">
        <v>75</v>
      </c>
      <c r="D17" s="124">
        <v>542524.6</v>
      </c>
      <c r="E17" s="74" t="s">
        <v>30</v>
      </c>
      <c r="F17" s="74"/>
      <c r="L17" s="22"/>
      <c r="M17" s="38"/>
      <c r="P17" s="22"/>
      <c r="Q17" s="38"/>
    </row>
    <row r="18" spans="1:17" ht="12.75">
      <c r="A18" s="74" t="s">
        <v>90</v>
      </c>
      <c r="D18" s="124">
        <v>0</v>
      </c>
      <c r="E18" s="74" t="s">
        <v>30</v>
      </c>
      <c r="F18" s="74"/>
      <c r="J18" s="65"/>
      <c r="K18" s="49"/>
      <c r="L18" s="44">
        <f>F46</f>
        <v>0.26525939910690555</v>
      </c>
      <c r="M18" s="38"/>
      <c r="P18" s="22"/>
      <c r="Q18" s="38"/>
    </row>
    <row r="19" spans="1:17" ht="12.75">
      <c r="A19" s="30" t="s">
        <v>95</v>
      </c>
      <c r="D19" s="124">
        <v>400000</v>
      </c>
      <c r="E19" s="74" t="s">
        <v>30</v>
      </c>
      <c r="F19" s="74"/>
      <c r="J19" s="65"/>
      <c r="K19" s="50"/>
      <c r="L19" s="22"/>
      <c r="M19" s="38"/>
      <c r="P19" s="22"/>
      <c r="Q19" s="38"/>
    </row>
    <row r="20" spans="1:17" ht="12.75">
      <c r="A20" s="74" t="s">
        <v>76</v>
      </c>
      <c r="D20" s="74"/>
      <c r="E20" s="74"/>
      <c r="F20" s="74"/>
      <c r="I20" s="44"/>
      <c r="J20" s="66" t="s">
        <v>49</v>
      </c>
      <c r="K20" s="21"/>
      <c r="L20" s="45"/>
      <c r="M20" s="38"/>
      <c r="P20" s="22"/>
      <c r="Q20" s="38"/>
    </row>
    <row r="21" spans="1:14" ht="12.75">
      <c r="A21" s="74" t="s">
        <v>87</v>
      </c>
      <c r="D21" s="74"/>
      <c r="E21" s="74"/>
      <c r="F21" s="74"/>
      <c r="J21" s="67" t="s">
        <v>50</v>
      </c>
      <c r="K21" s="60"/>
      <c r="M21" s="22"/>
      <c r="N21" s="22"/>
    </row>
    <row r="22" spans="1:13" ht="12.75">
      <c r="A22" s="74" t="s">
        <v>86</v>
      </c>
      <c r="D22" s="124">
        <v>73048.08</v>
      </c>
      <c r="E22" s="74" t="s">
        <v>30</v>
      </c>
      <c r="F22" s="74"/>
      <c r="I22" s="49"/>
      <c r="J22" s="23"/>
      <c r="K22" s="24">
        <f>I12+M16</f>
        <v>84476145.34484932</v>
      </c>
      <c r="L22" s="49"/>
      <c r="M22" s="49"/>
    </row>
    <row r="23" spans="1:13" ht="12.75">
      <c r="A23" s="74"/>
      <c r="D23" s="124"/>
      <c r="E23" s="74"/>
      <c r="F23" s="74"/>
      <c r="H23" s="49"/>
      <c r="I23" s="49"/>
      <c r="L23" s="49"/>
      <c r="M23" s="49"/>
    </row>
    <row r="24" spans="1:13" ht="12.75">
      <c r="A24" s="74" t="s">
        <v>77</v>
      </c>
      <c r="C24" s="39"/>
      <c r="D24" s="124">
        <v>35982633</v>
      </c>
      <c r="E24" s="102" t="s">
        <v>36</v>
      </c>
      <c r="F24" s="74"/>
      <c r="H24" s="49"/>
      <c r="I24" s="50"/>
      <c r="L24" s="49"/>
      <c r="M24" s="49"/>
    </row>
    <row r="25" spans="2:16" ht="12.75">
      <c r="B25" s="39"/>
      <c r="C25" s="41"/>
      <c r="D25" s="125"/>
      <c r="E25" s="74"/>
      <c r="F25" s="102"/>
      <c r="H25" s="64"/>
      <c r="I25" s="64"/>
      <c r="J25" s="72" t="s">
        <v>38</v>
      </c>
      <c r="K25" s="40"/>
      <c r="O25" s="46" t="s">
        <v>38</v>
      </c>
      <c r="P25" s="40"/>
    </row>
    <row r="26" spans="1:16" ht="12.75">
      <c r="A26" s="74" t="s">
        <v>68</v>
      </c>
      <c r="C26" s="39"/>
      <c r="D26" s="124">
        <v>31245394</v>
      </c>
      <c r="E26" s="74" t="s">
        <v>37</v>
      </c>
      <c r="F26" s="74"/>
      <c r="I26" s="49"/>
      <c r="J26" s="73" t="s">
        <v>92</v>
      </c>
      <c r="K26" s="48"/>
      <c r="L26" s="22"/>
      <c r="M26" s="22"/>
      <c r="O26" s="47" t="s">
        <v>39</v>
      </c>
      <c r="P26" s="48"/>
    </row>
    <row r="27" spans="1:16" ht="12.75">
      <c r="A27" s="75"/>
      <c r="B27" s="39"/>
      <c r="C27" s="41"/>
      <c r="D27" s="79" t="s">
        <v>62</v>
      </c>
      <c r="E27" s="74"/>
      <c r="F27" s="74"/>
      <c r="I27" s="50"/>
      <c r="J27" s="73"/>
      <c r="K27" s="43">
        <f>D9</f>
        <v>-4688206.24</v>
      </c>
      <c r="L27" s="22"/>
      <c r="M27" s="38"/>
      <c r="O27" s="42"/>
      <c r="P27" s="43">
        <f>D10</f>
        <v>-455362.23</v>
      </c>
    </row>
    <row r="28" spans="4:17" ht="12.75">
      <c r="D28" s="74"/>
      <c r="E28" s="74"/>
      <c r="F28" s="126"/>
      <c r="J28" s="108"/>
      <c r="L28" s="38"/>
      <c r="M28" s="88"/>
      <c r="P28" s="38"/>
      <c r="Q28" s="22"/>
    </row>
    <row r="29" spans="1:13" ht="12.75">
      <c r="A29" s="74" t="s">
        <v>69</v>
      </c>
      <c r="C29" s="39"/>
      <c r="D29" s="124">
        <v>13053724</v>
      </c>
      <c r="E29" s="126" t="s">
        <v>37</v>
      </c>
      <c r="F29" s="74"/>
      <c r="I29" s="44"/>
      <c r="L29" s="28"/>
      <c r="M29" s="89"/>
    </row>
    <row r="30" spans="1:12" ht="12.75">
      <c r="A30" s="75"/>
      <c r="C30" s="39"/>
      <c r="D30" s="127" t="s">
        <v>63</v>
      </c>
      <c r="E30" s="74"/>
      <c r="F30" s="74"/>
      <c r="I30" s="44"/>
      <c r="J30" s="68" t="s">
        <v>78</v>
      </c>
      <c r="K30" s="54"/>
      <c r="L30" s="28"/>
    </row>
    <row r="31" spans="4:11" ht="12.75">
      <c r="D31" s="74"/>
      <c r="E31" s="74"/>
      <c r="F31" s="74"/>
      <c r="J31" s="69"/>
      <c r="K31" s="70">
        <f>K22+K27</f>
        <v>79787939.10484932</v>
      </c>
    </row>
    <row r="32" spans="4:13" ht="12.75">
      <c r="D32" s="74"/>
      <c r="E32" s="74"/>
      <c r="F32" s="74"/>
      <c r="H32" s="49"/>
      <c r="I32" s="28">
        <f>D46</f>
        <v>0.7347406008930943</v>
      </c>
      <c r="L32" s="71">
        <f>F46</f>
        <v>0.26525939910690555</v>
      </c>
      <c r="M32" s="49"/>
    </row>
    <row r="33" spans="4:13" ht="12.75">
      <c r="D33" s="74"/>
      <c r="E33" s="74"/>
      <c r="F33" s="74"/>
      <c r="H33" s="49"/>
      <c r="M33" s="49"/>
    </row>
    <row r="34" spans="1:16" ht="12.75">
      <c r="A34" s="25" t="s">
        <v>42</v>
      </c>
      <c r="D34" s="74"/>
      <c r="E34" s="74"/>
      <c r="F34" s="74"/>
      <c r="H34" s="68" t="s">
        <v>40</v>
      </c>
      <c r="I34" s="93"/>
      <c r="L34" s="66" t="s">
        <v>66</v>
      </c>
      <c r="M34" s="21"/>
      <c r="O34" s="102"/>
      <c r="P34" s="22"/>
    </row>
    <row r="35" spans="4:16" ht="12.75">
      <c r="D35" s="74"/>
      <c r="E35" s="74"/>
      <c r="F35" s="74"/>
      <c r="H35" s="23"/>
      <c r="I35" s="70">
        <f>K31*I32</f>
        <v>58623438.321918614</v>
      </c>
      <c r="L35" s="23"/>
      <c r="M35" s="24">
        <f>(K31*L32)</f>
        <v>21164500.782930702</v>
      </c>
      <c r="O35" s="22"/>
      <c r="P35" s="50"/>
    </row>
    <row r="36" spans="1:6" ht="12.75">
      <c r="A36" s="74" t="s">
        <v>64</v>
      </c>
      <c r="D36" s="74"/>
      <c r="E36" s="74"/>
      <c r="F36" s="74"/>
    </row>
    <row r="37" spans="1:16" ht="12.75">
      <c r="A37" s="74" t="s">
        <v>53</v>
      </c>
      <c r="D37" s="128">
        <v>0.447</v>
      </c>
      <c r="E37" s="76" t="s">
        <v>43</v>
      </c>
      <c r="F37" s="129">
        <v>0.553</v>
      </c>
      <c r="H37" s="66" t="s">
        <v>107</v>
      </c>
      <c r="I37" s="21"/>
      <c r="L37" s="66" t="s">
        <v>109</v>
      </c>
      <c r="M37" s="21"/>
      <c r="O37" s="66" t="s">
        <v>79</v>
      </c>
      <c r="P37" s="21"/>
    </row>
    <row r="38" spans="4:16" ht="12.75">
      <c r="D38" s="74"/>
      <c r="E38" s="74"/>
      <c r="F38" s="74"/>
      <c r="H38" s="67" t="s">
        <v>108</v>
      </c>
      <c r="I38" s="60"/>
      <c r="L38" s="67" t="s">
        <v>110</v>
      </c>
      <c r="M38" s="60"/>
      <c r="O38" s="67"/>
      <c r="P38" s="60"/>
    </row>
    <row r="39" spans="1:16" ht="12.75">
      <c r="A39" s="74" t="s">
        <v>65</v>
      </c>
      <c r="D39" s="74"/>
      <c r="E39" s="74"/>
      <c r="F39" s="74"/>
      <c r="H39" s="23"/>
      <c r="I39" s="70">
        <f>D12+D13+D14</f>
        <v>243402.89</v>
      </c>
      <c r="L39" s="23"/>
      <c r="M39" s="70">
        <f>D17+D18+D19</f>
        <v>942524.6</v>
      </c>
      <c r="O39" s="23"/>
      <c r="P39" s="70">
        <f>D22</f>
        <v>73048.08</v>
      </c>
    </row>
    <row r="40" spans="1:17" ht="12.75">
      <c r="A40" s="74" t="s">
        <v>56</v>
      </c>
      <c r="B40" s="18"/>
      <c r="C40" s="18"/>
      <c r="D40" s="128">
        <v>0.8908</v>
      </c>
      <c r="E40" s="76" t="s">
        <v>43</v>
      </c>
      <c r="F40" s="129">
        <v>0.1092</v>
      </c>
      <c r="J40" s="22"/>
      <c r="N40" s="22"/>
      <c r="Q40" s="22"/>
    </row>
    <row r="41" spans="4:17" ht="12.75">
      <c r="D41" s="74"/>
      <c r="E41" s="74"/>
      <c r="F41" s="74"/>
      <c r="H41" s="36" t="s">
        <v>40</v>
      </c>
      <c r="I41" s="21"/>
      <c r="J41" s="22"/>
      <c r="N41" s="22"/>
      <c r="Q41" s="22"/>
    </row>
    <row r="42" spans="1:17" ht="12.75">
      <c r="A42" s="16" t="s">
        <v>44</v>
      </c>
      <c r="B42" s="51"/>
      <c r="C42" s="51"/>
      <c r="D42" s="129"/>
      <c r="E42" s="128"/>
      <c r="F42" s="128"/>
      <c r="H42" s="57"/>
      <c r="I42" s="81">
        <f>I35+I39</f>
        <v>58866841.211918615</v>
      </c>
      <c r="J42" s="22"/>
      <c r="L42" s="66" t="s">
        <v>66</v>
      </c>
      <c r="M42" s="21"/>
      <c r="N42" s="22"/>
      <c r="O42" s="36" t="s">
        <v>41</v>
      </c>
      <c r="P42" s="21"/>
      <c r="Q42" s="22"/>
    </row>
    <row r="43" spans="1:17" ht="12.75">
      <c r="A43" s="74" t="s">
        <v>54</v>
      </c>
      <c r="D43" s="128">
        <f>D26/(D26+D29)</f>
        <v>0.705327677178584</v>
      </c>
      <c r="E43" s="76" t="s">
        <v>43</v>
      </c>
      <c r="F43" s="129">
        <f>D29/(D26+D29)</f>
        <v>0.294672322821416</v>
      </c>
      <c r="H43" s="67" t="s">
        <v>58</v>
      </c>
      <c r="I43" s="24">
        <v>-55646</v>
      </c>
      <c r="J43" s="22"/>
      <c r="L43" s="23"/>
      <c r="M43" s="70">
        <f>M35+M39</f>
        <v>22107025.382930703</v>
      </c>
      <c r="N43" s="22"/>
      <c r="O43" s="23"/>
      <c r="P43" s="24">
        <f>P16+P27+P39</f>
        <v>8979355.045150686</v>
      </c>
      <c r="Q43" s="22"/>
    </row>
    <row r="44" spans="4:17" ht="12.75">
      <c r="D44" s="128"/>
      <c r="E44" s="128"/>
      <c r="F44" s="128"/>
      <c r="H44" s="23"/>
      <c r="I44" s="24">
        <f>I42+I43</f>
        <v>58811195.211918615</v>
      </c>
      <c r="J44" s="22"/>
      <c r="N44" s="22"/>
      <c r="Q44" s="22"/>
    </row>
    <row r="45" spans="1:17" ht="12.75">
      <c r="A45" s="74" t="s">
        <v>51</v>
      </c>
      <c r="C45" s="19"/>
      <c r="D45" s="128"/>
      <c r="E45" s="128"/>
      <c r="F45" s="128"/>
      <c r="J45" s="22"/>
      <c r="N45" s="22"/>
      <c r="Q45" s="22"/>
    </row>
    <row r="46" spans="1:16" ht="12.75">
      <c r="A46" s="74" t="s">
        <v>55</v>
      </c>
      <c r="B46" s="52"/>
      <c r="C46" s="19"/>
      <c r="D46" s="130">
        <f>I12/(I12+M16)</f>
        <v>0.7347406008930943</v>
      </c>
      <c r="E46" s="76" t="s">
        <v>43</v>
      </c>
      <c r="F46" s="129">
        <f>M16/(I12+M16)</f>
        <v>0.26525939910690555</v>
      </c>
      <c r="H46" s="68" t="s">
        <v>59</v>
      </c>
      <c r="I46" s="54"/>
      <c r="L46" s="66" t="s">
        <v>67</v>
      </c>
      <c r="M46" s="21"/>
      <c r="O46" s="22"/>
      <c r="P46" s="22"/>
    </row>
    <row r="47" spans="4:16" ht="12.75">
      <c r="D47" s="74"/>
      <c r="E47" s="74"/>
      <c r="F47" s="74"/>
      <c r="H47" s="77" t="s">
        <v>52</v>
      </c>
      <c r="I47" s="60"/>
      <c r="L47" s="57" t="s">
        <v>45</v>
      </c>
      <c r="M47" s="58">
        <f>D26</f>
        <v>31245394</v>
      </c>
      <c r="O47" s="92" t="s">
        <v>70</v>
      </c>
      <c r="P47" s="92"/>
    </row>
    <row r="48" spans="4:16" ht="12.75">
      <c r="D48" s="74"/>
      <c r="E48" s="74"/>
      <c r="F48" s="74"/>
      <c r="H48" s="77" t="s">
        <v>57</v>
      </c>
      <c r="I48" s="56">
        <f>D24</f>
        <v>35982633</v>
      </c>
      <c r="L48" s="57"/>
      <c r="M48" s="60"/>
      <c r="O48" s="22"/>
      <c r="P48" s="84"/>
    </row>
    <row r="49" spans="1:16" ht="12.75">
      <c r="A49" s="25"/>
      <c r="H49" s="77"/>
      <c r="I49" s="80"/>
      <c r="L49" s="57">
        <f>M43/M47</f>
        <v>0.7075290963823565</v>
      </c>
      <c r="M49" s="60"/>
      <c r="O49" s="90">
        <f>I42+M43+P43</f>
        <v>89953221.64</v>
      </c>
      <c r="P49" s="22"/>
    </row>
    <row r="50" spans="8:13" ht="12.75">
      <c r="H50" s="55">
        <f>I44/I48</f>
        <v>1.6344327890601729</v>
      </c>
      <c r="I50" s="59"/>
      <c r="L50" s="78">
        <f>ROUND(L49,2)</f>
        <v>0.71</v>
      </c>
      <c r="M50" s="63" t="s">
        <v>47</v>
      </c>
    </row>
    <row r="51" spans="2:9" ht="12.75">
      <c r="B51" s="52"/>
      <c r="C51" s="19"/>
      <c r="D51" s="53"/>
      <c r="H51" s="61">
        <f>ROUND(H50,2)</f>
        <v>1.63</v>
      </c>
      <c r="I51" s="62" t="s">
        <v>46</v>
      </c>
    </row>
    <row r="53" spans="2:16" ht="12.75">
      <c r="B53" s="52"/>
      <c r="C53" s="19"/>
      <c r="D53" s="19"/>
      <c r="G53" s="25" t="s">
        <v>80</v>
      </c>
      <c r="H53" s="134">
        <f>I42</f>
        <v>58866841.211918615</v>
      </c>
      <c r="I53" s="134"/>
      <c r="J53" s="94"/>
      <c r="K53" s="94"/>
      <c r="L53" s="134">
        <f>M43</f>
        <v>22107025.382930703</v>
      </c>
      <c r="M53" s="147"/>
      <c r="N53" s="94"/>
      <c r="O53" s="101">
        <f>P43</f>
        <v>8979355.045150686</v>
      </c>
      <c r="P53" s="101">
        <f>SUM(H53:O53)</f>
        <v>89953221.64</v>
      </c>
    </row>
    <row r="54" spans="2:16" ht="12.75">
      <c r="B54" s="52"/>
      <c r="C54" s="19"/>
      <c r="D54" s="19"/>
      <c r="G54" s="120" t="s">
        <v>100</v>
      </c>
      <c r="H54" s="136">
        <v>59756049.75</v>
      </c>
      <c r="I54" s="136"/>
      <c r="J54" s="121"/>
      <c r="K54" s="121"/>
      <c r="L54" s="136">
        <v>21638236.16</v>
      </c>
      <c r="M54" s="137"/>
      <c r="N54" s="121"/>
      <c r="O54" s="122">
        <v>8000000</v>
      </c>
      <c r="P54" s="122">
        <f>SUM(H54:O54)</f>
        <v>89394285.91</v>
      </c>
    </row>
    <row r="55" spans="2:16" ht="6" customHeight="1">
      <c r="B55" s="52"/>
      <c r="C55" s="19"/>
      <c r="D55" s="19"/>
      <c r="G55" s="25"/>
      <c r="H55" s="99"/>
      <c r="I55" s="99"/>
      <c r="J55" s="94"/>
      <c r="K55" s="94"/>
      <c r="L55" s="99"/>
      <c r="M55" s="119"/>
      <c r="N55" s="94"/>
      <c r="O55" s="101"/>
      <c r="P55" s="101"/>
    </row>
    <row r="56" spans="2:16" ht="12.75" customHeight="1">
      <c r="B56" s="52"/>
      <c r="C56" s="19"/>
      <c r="D56" s="19"/>
      <c r="G56" s="25" t="s">
        <v>101</v>
      </c>
      <c r="H56" s="134">
        <f>H54-H53</f>
        <v>889208.5380813852</v>
      </c>
      <c r="I56" s="134"/>
      <c r="J56" s="94"/>
      <c r="K56" s="94"/>
      <c r="L56" s="134">
        <f>L54-L53</f>
        <v>-468789.2229307033</v>
      </c>
      <c r="M56" s="132"/>
      <c r="N56" s="94"/>
      <c r="O56" s="101">
        <f>O54-O53</f>
        <v>-979355.045150686</v>
      </c>
      <c r="P56" s="101">
        <f>SUM(H56:O56)</f>
        <v>-558935.7300000042</v>
      </c>
    </row>
    <row r="57" spans="7:16" ht="15">
      <c r="G57" s="25"/>
      <c r="H57" s="99"/>
      <c r="I57" s="99"/>
      <c r="J57" s="103"/>
      <c r="K57" s="103"/>
      <c r="L57" s="99"/>
      <c r="M57" s="104"/>
      <c r="O57" s="105"/>
      <c r="P57" s="101"/>
    </row>
    <row r="58" spans="1:16" ht="12.75" customHeight="1">
      <c r="A58" s="25" t="s">
        <v>88</v>
      </c>
      <c r="B58" s="140">
        <v>0.045</v>
      </c>
      <c r="C58" s="141"/>
      <c r="D58" s="141"/>
      <c r="G58" s="25" t="s">
        <v>102</v>
      </c>
      <c r="J58" s="134">
        <f>H56+L56</f>
        <v>420419.3151506819</v>
      </c>
      <c r="K58" s="135"/>
      <c r="O58" s="95"/>
      <c r="P58" s="94"/>
    </row>
    <row r="59" spans="7:16" ht="12.75">
      <c r="G59" s="25" t="s">
        <v>81</v>
      </c>
      <c r="H59" s="112"/>
      <c r="I59" s="25"/>
      <c r="J59" s="136">
        <f>B61-B62</f>
        <v>2441084.1900000013</v>
      </c>
      <c r="K59" s="136"/>
      <c r="L59" s="25"/>
      <c r="M59" s="113"/>
      <c r="O59" s="94"/>
      <c r="P59" s="94"/>
    </row>
    <row r="60" spans="7:16" ht="12.75">
      <c r="G60" s="25"/>
      <c r="H60" s="112"/>
      <c r="I60" s="25"/>
      <c r="J60" s="138">
        <f>J58+J59</f>
        <v>2861503.505150683</v>
      </c>
      <c r="K60" s="138"/>
      <c r="L60" s="25"/>
      <c r="M60" s="113"/>
      <c r="O60" s="94"/>
      <c r="P60" s="94"/>
    </row>
    <row r="61" spans="1:16" ht="15">
      <c r="A61" s="25" t="s">
        <v>83</v>
      </c>
      <c r="B61" s="134">
        <v>23499000</v>
      </c>
      <c r="C61" s="134"/>
      <c r="D61" s="139"/>
      <c r="O61" s="25"/>
      <c r="P61" s="109">
        <f>J60</f>
        <v>2861503.505150683</v>
      </c>
    </row>
    <row r="62" spans="1:16" ht="15">
      <c r="A62" s="25" t="s">
        <v>84</v>
      </c>
      <c r="B62" s="134">
        <v>21057915.81</v>
      </c>
      <c r="C62" s="134"/>
      <c r="D62" s="139"/>
      <c r="G62" s="25" t="s">
        <v>103</v>
      </c>
      <c r="H62" s="112"/>
      <c r="J62" s="133"/>
      <c r="K62" s="132"/>
      <c r="L62" s="106"/>
      <c r="M62" s="101"/>
      <c r="O62" s="25" t="s">
        <v>105</v>
      </c>
      <c r="P62" s="109">
        <f>-H56</f>
        <v>-889208.5380813852</v>
      </c>
    </row>
    <row r="63" spans="1:16" ht="15">
      <c r="A63" s="25"/>
      <c r="B63" s="134"/>
      <c r="C63" s="134"/>
      <c r="D63" s="132"/>
      <c r="G63" s="25" t="s">
        <v>104</v>
      </c>
      <c r="H63" s="134">
        <f>H56</f>
        <v>889208.5380813852</v>
      </c>
      <c r="I63" s="134"/>
      <c r="J63" s="25" t="s">
        <v>106</v>
      </c>
      <c r="L63" s="106"/>
      <c r="M63" s="101"/>
      <c r="O63" s="25" t="s">
        <v>93</v>
      </c>
      <c r="P63" s="110">
        <f>D19</f>
        <v>400000</v>
      </c>
    </row>
    <row r="64" spans="8:9" ht="11.25" customHeight="1">
      <c r="H64" s="142"/>
      <c r="I64" s="143"/>
    </row>
    <row r="65" spans="1:16" ht="12.75" customHeight="1">
      <c r="A65" s="25"/>
      <c r="H65" s="142"/>
      <c r="I65" s="143"/>
      <c r="L65" s="142"/>
      <c r="M65" s="143"/>
      <c r="O65" s="96" t="s">
        <v>82</v>
      </c>
      <c r="P65" s="101">
        <f>P61+P62+P63</f>
        <v>2372294.967069298</v>
      </c>
    </row>
    <row r="66" spans="1:15" ht="12.75" customHeight="1">
      <c r="A66" s="25"/>
      <c r="H66" s="142"/>
      <c r="I66" s="143"/>
      <c r="K66" s="99"/>
      <c r="L66" s="134"/>
      <c r="M66" s="132"/>
      <c r="O66" s="96" t="s">
        <v>89</v>
      </c>
    </row>
    <row r="68" spans="8:9" ht="15">
      <c r="H68" s="100"/>
      <c r="I68" s="98"/>
    </row>
  </sheetData>
  <sheetProtection/>
  <mergeCells count="24">
    <mergeCell ref="L66:M66"/>
    <mergeCell ref="H65:I65"/>
    <mergeCell ref="N13:O13"/>
    <mergeCell ref="N14:O14"/>
    <mergeCell ref="L53:M53"/>
    <mergeCell ref="H64:I64"/>
    <mergeCell ref="J59:K59"/>
    <mergeCell ref="H54:I54"/>
    <mergeCell ref="L65:M65"/>
    <mergeCell ref="B63:D63"/>
    <mergeCell ref="B62:D62"/>
    <mergeCell ref="B61:D61"/>
    <mergeCell ref="B58:D58"/>
    <mergeCell ref="H63:I63"/>
    <mergeCell ref="H66:I66"/>
    <mergeCell ref="G1:M1"/>
    <mergeCell ref="G2:M2"/>
    <mergeCell ref="J62:K62"/>
    <mergeCell ref="H53:I53"/>
    <mergeCell ref="J58:K58"/>
    <mergeCell ref="L54:M54"/>
    <mergeCell ref="H56:I56"/>
    <mergeCell ref="L56:M56"/>
    <mergeCell ref="J60:K60"/>
  </mergeCells>
  <printOptions/>
  <pageMargins left="0.4330708661417323" right="0.1968503937007874" top="0.1968503937007874" bottom="0.15748031496062992" header="0.1968503937007874" footer="0.15748031496062992"/>
  <pageSetup fitToHeight="1" fitToWidth="1" horizontalDpi="600" verticalDpi="600" orientation="landscape" paperSize="9" scale="64" r:id="rId4"/>
  <headerFooter alignWithMargins="0">
    <oddHeader>&amp;RAnlage 5 b zu GRDrs 530/2016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="75" zoomScaleNormal="75" zoomScalePageLayoutView="0" workbookViewId="0" topLeftCell="A1">
      <selection activeCell="H63" sqref="H63"/>
    </sheetView>
  </sheetViews>
  <sheetFormatPr defaultColWidth="11.5546875" defaultRowHeight="15"/>
  <cols>
    <col min="1" max="1" width="12.77734375" style="3" customWidth="1"/>
    <col min="2" max="2" width="15.88671875" style="3" customWidth="1"/>
    <col min="3" max="4" width="15.77734375" style="3" customWidth="1"/>
    <col min="5" max="5" width="15.6640625" style="3" customWidth="1"/>
    <col min="6" max="6" width="10.88671875" style="3" customWidth="1"/>
    <col min="7" max="7" width="13.77734375" style="3" customWidth="1"/>
    <col min="8" max="8" width="15.6640625" style="3" customWidth="1"/>
    <col min="9" max="11" width="11.5546875" style="3" customWidth="1"/>
    <col min="12" max="12" width="12.6640625" style="3" bestFit="1" customWidth="1"/>
    <col min="13" max="16384" width="11.5546875" style="3" customWidth="1"/>
  </cols>
  <sheetData>
    <row r="1" spans="1:3" ht="20.25">
      <c r="A1" s="1" t="s">
        <v>98</v>
      </c>
      <c r="B1" s="2"/>
      <c r="C1" s="2"/>
    </row>
    <row r="2" spans="1:4" ht="20.25">
      <c r="A2" s="1"/>
      <c r="B2" s="2"/>
      <c r="C2" s="2"/>
      <c r="D2" s="7"/>
    </row>
    <row r="3" spans="1:3" ht="16.5" customHeight="1">
      <c r="A3" s="1"/>
      <c r="B3" s="2"/>
      <c r="C3" s="2"/>
    </row>
    <row r="4" spans="1:6" ht="15.75">
      <c r="A4" s="7"/>
      <c r="B4" s="7"/>
      <c r="C4" s="7"/>
      <c r="D4" s="11"/>
      <c r="F4" s="91"/>
    </row>
    <row r="5" spans="1:5" ht="15.75">
      <c r="A5" s="4" t="s">
        <v>17</v>
      </c>
      <c r="E5" s="11"/>
    </row>
    <row r="6" ht="15"/>
    <row r="7" spans="2:6" ht="15">
      <c r="B7" s="6" t="s">
        <v>3</v>
      </c>
      <c r="C7" s="6" t="s">
        <v>2</v>
      </c>
      <c r="D7" s="6" t="s">
        <v>6</v>
      </c>
      <c r="E7" s="6" t="s">
        <v>4</v>
      </c>
      <c r="F7" s="6" t="s">
        <v>18</v>
      </c>
    </row>
    <row r="8" ht="15"/>
    <row r="9" spans="1:6" ht="15">
      <c r="A9" s="3" t="s">
        <v>0</v>
      </c>
      <c r="B9" s="3">
        <f>6760518.7+7554908.88+2213088.44+1215.29</f>
        <v>16529731.309999999</v>
      </c>
      <c r="D9" s="3">
        <f>C10/B13*B9</f>
        <v>3221293.589784725</v>
      </c>
      <c r="E9" s="3">
        <f>B9+D9</f>
        <v>19751024.899784725</v>
      </c>
      <c r="F9" s="3">
        <f>E9/E13%</f>
        <v>35.52026061022967</v>
      </c>
    </row>
    <row r="10" spans="2:3" ht="15">
      <c r="B10" s="11"/>
      <c r="C10" s="3">
        <f>281219.87+3042642.11+7054004.23-1308975.57</f>
        <v>9068890.64</v>
      </c>
    </row>
    <row r="11" spans="1:8" ht="15">
      <c r="A11" s="3" t="s">
        <v>1</v>
      </c>
      <c r="B11" s="5">
        <f>17562024+10526398.66+1913711.48+4198.83</f>
        <v>30006332.97</v>
      </c>
      <c r="C11" s="5"/>
      <c r="D11" s="5">
        <f>C10/B13*B11</f>
        <v>5847597.050215274</v>
      </c>
      <c r="E11" s="5">
        <f>B11+D11</f>
        <v>35853930.02021527</v>
      </c>
      <c r="F11" s="5">
        <f>E11/E13%</f>
        <v>64.47973938977033</v>
      </c>
      <c r="H11" s="6" t="s">
        <v>5</v>
      </c>
    </row>
    <row r="12" ht="15"/>
    <row r="13" spans="2:8" ht="15">
      <c r="B13" s="3">
        <f>SUM(B9:B11)</f>
        <v>46536064.28</v>
      </c>
      <c r="C13" s="3">
        <f>C10</f>
        <v>9068890.64</v>
      </c>
      <c r="D13" s="3">
        <f>SUM(D9:D11)</f>
        <v>9068890.639999999</v>
      </c>
      <c r="E13" s="3">
        <f>SUM(E9:E11)</f>
        <v>55604954.92</v>
      </c>
      <c r="F13" s="3">
        <v>100</v>
      </c>
      <c r="H13" s="3">
        <f>B13+D13</f>
        <v>55604954.92</v>
      </c>
    </row>
    <row r="14" ht="15"/>
    <row r="15" ht="15"/>
    <row r="16" ht="15">
      <c r="J16" s="86"/>
    </row>
    <row r="17" ht="15.75">
      <c r="A17" s="4" t="s">
        <v>7</v>
      </c>
    </row>
    <row r="18" ht="15"/>
    <row r="19" spans="2:8" ht="15">
      <c r="B19" s="6" t="s">
        <v>8</v>
      </c>
      <c r="C19" s="6" t="s">
        <v>9</v>
      </c>
      <c r="D19" s="6" t="s">
        <v>10</v>
      </c>
      <c r="E19" s="10" t="s">
        <v>4</v>
      </c>
      <c r="F19" s="116" t="s">
        <v>18</v>
      </c>
      <c r="G19" s="115"/>
      <c r="H19" s="115"/>
    </row>
    <row r="20" spans="5:8" ht="15">
      <c r="E20" s="115"/>
      <c r="F20" s="115"/>
      <c r="G20" s="115"/>
      <c r="H20" s="115"/>
    </row>
    <row r="21" spans="1:8" ht="15">
      <c r="A21" s="8" t="s">
        <v>0</v>
      </c>
      <c r="B21" s="3">
        <f>E9</f>
        <v>19751024.899784725</v>
      </c>
      <c r="C21" s="11">
        <f>17415006.98+148938.7</f>
        <v>17563945.68</v>
      </c>
      <c r="D21" s="11">
        <f>23499000*0.67</f>
        <v>15744330.000000002</v>
      </c>
      <c r="E21" s="11">
        <f>SUM(B21:D21)</f>
        <v>53059300.57978472</v>
      </c>
      <c r="F21" s="11">
        <f>E21/E25%</f>
        <v>45.61372061714274</v>
      </c>
      <c r="G21" s="11"/>
      <c r="H21" s="11"/>
    </row>
    <row r="22" spans="3:8" ht="15">
      <c r="C22" s="11"/>
      <c r="D22" s="11"/>
      <c r="E22" s="11"/>
      <c r="F22" s="11"/>
      <c r="G22" s="11"/>
      <c r="H22" s="11"/>
    </row>
    <row r="23" spans="1:8" ht="15">
      <c r="A23" s="8" t="s">
        <v>1</v>
      </c>
      <c r="B23" s="5">
        <f>E11</f>
        <v>35853930.02021527</v>
      </c>
      <c r="C23" s="117">
        <f>19487262.01+167952.15</f>
        <v>19655214.16</v>
      </c>
      <c r="D23" s="117">
        <f>23499000*0.33</f>
        <v>7754670</v>
      </c>
      <c r="E23" s="117">
        <f>SUM(B23:D23)</f>
        <v>63263814.18021527</v>
      </c>
      <c r="F23" s="117">
        <f>E23/E25%</f>
        <v>54.38627938285727</v>
      </c>
      <c r="G23" s="11"/>
      <c r="H23" s="10" t="s">
        <v>5</v>
      </c>
    </row>
    <row r="24" spans="3:8" ht="15">
      <c r="C24" s="11"/>
      <c r="D24" s="11"/>
      <c r="E24" s="11"/>
      <c r="F24" s="11"/>
      <c r="G24" s="11"/>
      <c r="H24" s="11"/>
    </row>
    <row r="25" spans="2:8" ht="15">
      <c r="B25" s="3">
        <f>SUM(B21:B23)</f>
        <v>55604954.92</v>
      </c>
      <c r="C25" s="11">
        <f>SUM(C21:C23)</f>
        <v>37219159.84</v>
      </c>
      <c r="D25" s="11">
        <f>SUM(D21:D24)</f>
        <v>23499000</v>
      </c>
      <c r="E25" s="11">
        <f>SUM(E21:E23)</f>
        <v>116323114.75999999</v>
      </c>
      <c r="F25" s="11">
        <v>100</v>
      </c>
      <c r="G25" s="11"/>
      <c r="H25" s="11">
        <f>B25+C25+D25</f>
        <v>116323114.76</v>
      </c>
    </row>
    <row r="26" ht="15"/>
    <row r="27" ht="15"/>
    <row r="28" ht="15"/>
    <row r="29" spans="1:10" ht="15.75">
      <c r="A29" s="4" t="s">
        <v>11</v>
      </c>
      <c r="J29" s="86"/>
    </row>
    <row r="30" ht="15"/>
    <row r="31" spans="2:6" ht="15">
      <c r="B31" s="6" t="s">
        <v>3</v>
      </c>
      <c r="C31" s="6" t="s">
        <v>2</v>
      </c>
      <c r="D31" s="6" t="s">
        <v>6</v>
      </c>
      <c r="E31" s="6" t="s">
        <v>4</v>
      </c>
      <c r="F31" s="10" t="s">
        <v>18</v>
      </c>
    </row>
    <row r="32" ht="15">
      <c r="F32" s="11"/>
    </row>
    <row r="33" spans="1:6" ht="15">
      <c r="A33" s="8" t="s">
        <v>0</v>
      </c>
      <c r="B33" s="3">
        <v>2515551.81</v>
      </c>
      <c r="D33" s="3">
        <f>C34*0.1845</f>
        <v>165279.02985</v>
      </c>
      <c r="E33" s="3">
        <f>B33+D33</f>
        <v>2680830.83985</v>
      </c>
      <c r="F33" s="3">
        <f>E33/E37%</f>
        <v>18.44611183998722</v>
      </c>
    </row>
    <row r="34" ht="15">
      <c r="C34" s="3">
        <v>895821.3</v>
      </c>
    </row>
    <row r="35" spans="1:8" ht="15">
      <c r="A35" s="8" t="s">
        <v>1</v>
      </c>
      <c r="B35" s="5">
        <v>11121938.1</v>
      </c>
      <c r="C35" s="5"/>
      <c r="D35" s="5">
        <f>C34*0.8155</f>
        <v>730542.27015</v>
      </c>
      <c r="E35" s="5">
        <f>B35+D35</f>
        <v>11852480.37015</v>
      </c>
      <c r="F35" s="5">
        <f>E35/E37%</f>
        <v>81.55388816001278</v>
      </c>
      <c r="H35" s="6" t="s">
        <v>5</v>
      </c>
    </row>
    <row r="36" ht="15"/>
    <row r="37" spans="2:8" ht="15">
      <c r="B37" s="3">
        <f>SUM(B33:B35)</f>
        <v>13637489.91</v>
      </c>
      <c r="C37" s="3">
        <f>SUM(C33:C35)</f>
        <v>895821.3</v>
      </c>
      <c r="D37" s="3">
        <f>SUM(D33:D35)</f>
        <v>895821.3</v>
      </c>
      <c r="E37" s="3">
        <f>SUM(E33:E35)</f>
        <v>14533311.21</v>
      </c>
      <c r="F37" s="3">
        <v>100</v>
      </c>
      <c r="H37" s="3">
        <f>B37+D37</f>
        <v>14533311.21</v>
      </c>
    </row>
    <row r="38" ht="15"/>
    <row r="39" ht="15"/>
    <row r="40" ht="15"/>
    <row r="41" ht="15.75">
      <c r="A41" s="4" t="s">
        <v>19</v>
      </c>
    </row>
    <row r="42" ht="15"/>
    <row r="43" spans="2:6" ht="15">
      <c r="B43" s="6" t="s">
        <v>12</v>
      </c>
      <c r="C43" s="6" t="s">
        <v>13</v>
      </c>
      <c r="D43" s="6"/>
      <c r="E43" s="6" t="s">
        <v>4</v>
      </c>
      <c r="F43" s="10" t="s">
        <v>18</v>
      </c>
    </row>
    <row r="44" ht="15">
      <c r="F44" s="11"/>
    </row>
    <row r="45" spans="1:6" ht="15">
      <c r="A45" s="8" t="s">
        <v>0</v>
      </c>
      <c r="B45" s="3">
        <f>E33</f>
        <v>2680830.83985</v>
      </c>
      <c r="C45" s="3">
        <v>1882139.41</v>
      </c>
      <c r="E45" s="3">
        <f>SUM(B45+C45+D45)</f>
        <v>4562970.24985</v>
      </c>
      <c r="F45" s="3">
        <f>E45/E49%</f>
        <v>20.293125754182167</v>
      </c>
    </row>
    <row r="47" spans="1:8" ht="15">
      <c r="A47" s="8" t="s">
        <v>1</v>
      </c>
      <c r="B47" s="5">
        <f>E35</f>
        <v>11852480.37015</v>
      </c>
      <c r="C47" s="5">
        <v>6069849.6</v>
      </c>
      <c r="D47" s="5"/>
      <c r="E47" s="5">
        <f>SUM(B47:D47)</f>
        <v>17922329.97015</v>
      </c>
      <c r="F47" s="5">
        <f>E47/E49%</f>
        <v>79.70687424581783</v>
      </c>
      <c r="H47" s="6" t="s">
        <v>5</v>
      </c>
    </row>
    <row r="49" spans="2:8" ht="15">
      <c r="B49" s="3">
        <f>SUM(B45:B47)</f>
        <v>14533311.21</v>
      </c>
      <c r="C49" s="3">
        <f>C45+C47</f>
        <v>7951989.01</v>
      </c>
      <c r="E49" s="3">
        <f>SUM(E45:E47)</f>
        <v>22485300.220000003</v>
      </c>
      <c r="F49" s="3">
        <v>100</v>
      </c>
      <c r="H49" s="3">
        <f>B49+C49+D49</f>
        <v>22485300.22</v>
      </c>
    </row>
    <row r="54" ht="15">
      <c r="A54" s="4" t="s">
        <v>16</v>
      </c>
    </row>
    <row r="56" spans="2:6" ht="15">
      <c r="B56" s="6" t="s">
        <v>14</v>
      </c>
      <c r="C56" s="6" t="s">
        <v>12</v>
      </c>
      <c r="D56" s="6" t="s">
        <v>13</v>
      </c>
      <c r="E56" s="6" t="s">
        <v>4</v>
      </c>
      <c r="F56" s="10" t="s">
        <v>18</v>
      </c>
    </row>
    <row r="57" ht="15">
      <c r="F57" s="11"/>
    </row>
    <row r="58" spans="1:8" ht="15">
      <c r="A58" s="8" t="s">
        <v>0</v>
      </c>
      <c r="B58" s="3">
        <f>E21</f>
        <v>53059300.57978472</v>
      </c>
      <c r="C58" s="3">
        <f>E45-D45</f>
        <v>4562970.24985</v>
      </c>
      <c r="E58" s="7">
        <f>B58-C58</f>
        <v>48496330.32993472</v>
      </c>
      <c r="F58" s="3">
        <f>E58/E62%</f>
        <v>51.681010014637884</v>
      </c>
      <c r="H58" s="12" t="s">
        <v>5</v>
      </c>
    </row>
    <row r="59" spans="5:8" ht="15">
      <c r="E59" s="7"/>
      <c r="G59" s="8" t="s">
        <v>15</v>
      </c>
      <c r="H59" s="3">
        <f>E62</f>
        <v>93837814.53999999</v>
      </c>
    </row>
    <row r="60" spans="1:8" ht="15">
      <c r="A60" s="8" t="s">
        <v>1</v>
      </c>
      <c r="B60" s="5">
        <f>E23</f>
        <v>63263814.18021527</v>
      </c>
      <c r="C60" s="5">
        <f>E47</f>
        <v>17922329.97015</v>
      </c>
      <c r="D60" s="5"/>
      <c r="E60" s="9">
        <f>B60-C60</f>
        <v>45341484.21006527</v>
      </c>
      <c r="F60" s="5">
        <f>E60/E62%</f>
        <v>48.31898998536211</v>
      </c>
      <c r="G60" s="118" t="s">
        <v>97</v>
      </c>
      <c r="H60" s="13">
        <v>400000</v>
      </c>
    </row>
    <row r="61" spans="7:8" ht="15">
      <c r="G61" s="11" t="s">
        <v>96</v>
      </c>
      <c r="H61" s="13">
        <v>-450000</v>
      </c>
    </row>
    <row r="62" spans="2:8" ht="15">
      <c r="B62" s="3">
        <f>SUM(B58:B60)</f>
        <v>116323114.75999999</v>
      </c>
      <c r="C62" s="3">
        <f>SUM(C58:C60)</f>
        <v>22485300.220000003</v>
      </c>
      <c r="D62" s="3">
        <f>SUM(D58:D60)</f>
        <v>0</v>
      </c>
      <c r="E62" s="3">
        <f>SUM(E58:E60)</f>
        <v>93837814.53999999</v>
      </c>
      <c r="F62" s="3">
        <v>100</v>
      </c>
      <c r="G62" s="8" t="s">
        <v>22</v>
      </c>
      <c r="H62" s="13">
        <f>-(C70+E70)</f>
        <v>-5143568.470000001</v>
      </c>
    </row>
    <row r="63" spans="7:8" ht="15">
      <c r="G63" s="97" t="s">
        <v>85</v>
      </c>
      <c r="H63" s="5">
        <v>1308975.57</v>
      </c>
    </row>
    <row r="64" spans="7:8" ht="15">
      <c r="G64" s="8" t="s">
        <v>48</v>
      </c>
      <c r="H64" s="3">
        <f>H59+H60+H61+H62+H63</f>
        <v>89953221.63999999</v>
      </c>
    </row>
    <row r="66" ht="15">
      <c r="A66" s="4" t="s">
        <v>23</v>
      </c>
    </row>
    <row r="68" spans="3:6" ht="15">
      <c r="C68" s="6" t="s">
        <v>20</v>
      </c>
      <c r="E68" s="6" t="s">
        <v>21</v>
      </c>
      <c r="F68" s="6"/>
    </row>
    <row r="70" spans="3:5" ht="15">
      <c r="C70" s="7">
        <v>4688206.24</v>
      </c>
      <c r="D70" s="7"/>
      <c r="E70" s="7">
        <v>455362.23</v>
      </c>
    </row>
    <row r="74" ht="15">
      <c r="A74" s="7"/>
    </row>
  </sheetData>
  <sheetProtection/>
  <printOptions gridLines="1"/>
  <pageMargins left="0.787401575" right="0.57" top="0.984251969" bottom="0.984251969" header="0.5" footer="0.4921259845"/>
  <pageSetup horizontalDpi="600" verticalDpi="600" orientation="portrait" paperSize="9" scale="85" r:id="rId4"/>
  <headerFooter alignWithMargins="0">
    <oddFooter>&amp;L66-K/&amp;D/Wü</oddFooter>
  </headerFooter>
  <rowBreaks count="1" manualBreakCount="1">
    <brk id="51" max="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2016-07-06T09:10:21Z</cp:lastPrinted>
  <dcterms:created xsi:type="dcterms:W3CDTF">2003-06-18T06:26:32Z</dcterms:created>
  <dcterms:modified xsi:type="dcterms:W3CDTF">2016-07-06T09:10:25Z</dcterms:modified>
  <cp:category/>
  <cp:version/>
  <cp:contentType/>
  <cp:contentStatus/>
</cp:coreProperties>
</file>