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2088" windowWidth="11748" windowHeight="5916" tabRatio="601" activeTab="0"/>
  </bookViews>
  <sheets>
    <sheet name="Statistik" sheetId="1" r:id="rId1"/>
  </sheets>
  <definedNames>
    <definedName name="_xlnm.Print_Area" localSheetId="0">'Statistik'!$A$1:$W$26</definedName>
    <definedName name="_xlnm.Print_Titles" localSheetId="0">'Statistik'!$A:$A,'Statistik'!$1:$2</definedName>
  </definedNames>
  <calcPr fullCalcOnLoad="1"/>
</workbook>
</file>

<file path=xl/comments1.xml><?xml version="1.0" encoding="utf-8"?>
<comments xmlns="http://schemas.openxmlformats.org/spreadsheetml/2006/main">
  <authors>
    <author>Ingrid Sch?ren</author>
  </authors>
  <commentList>
    <comment ref="F2" authorId="0">
      <text>
        <r>
          <rPr>
            <b/>
            <sz val="8"/>
            <rFont val="Tahoma"/>
            <family val="0"/>
          </rPr>
          <t>Ingrid Schüren:</t>
        </r>
        <r>
          <rPr>
            <sz val="8"/>
            <rFont val="Tahoma"/>
            <family val="0"/>
          </rPr>
          <t xml:space="preserve">
Miete und Nebenkosten für Heizung, Strom, Reinigung</t>
        </r>
      </text>
    </comment>
    <comment ref="F21" authorId="0">
      <text>
        <r>
          <rPr>
            <b/>
            <sz val="8"/>
            <rFont val="Tahoma"/>
            <family val="0"/>
          </rPr>
          <t>Ingrid Schüren:</t>
        </r>
        <r>
          <rPr>
            <sz val="8"/>
            <rFont val="Tahoma"/>
            <family val="0"/>
          </rPr>
          <t xml:space="preserve">
Miete und Nebenkosten für Heizung, Strom, Reinigung</t>
        </r>
      </text>
    </comment>
  </commentList>
</comments>
</file>

<file path=xl/sharedStrings.xml><?xml version="1.0" encoding="utf-8"?>
<sst xmlns="http://schemas.openxmlformats.org/spreadsheetml/2006/main" count="208" uniqueCount="168">
  <si>
    <t>Platzzahl</t>
  </si>
  <si>
    <t>2.248.667          1.124.350</t>
  </si>
  <si>
    <t>Zuschuß Stadt
Zuschuß Land
lt. Beschluß-
antrag lfd. Jahr (2001)</t>
  </si>
  <si>
    <t>920.000        437.700</t>
  </si>
  <si>
    <t xml:space="preserve">865.000                    365.000       </t>
  </si>
  <si>
    <t xml:space="preserve">78.000                                     21.100  </t>
  </si>
  <si>
    <t>95.000                                         90.000</t>
  </si>
  <si>
    <t>studio theater und 
Kruschteltunnel</t>
  </si>
  <si>
    <t>200.000                                     10.000</t>
  </si>
  <si>
    <t>850.000            386.600</t>
  </si>
  <si>
    <t>720.000                                    324.500</t>
  </si>
  <si>
    <t>5.481.000                                   1.832.100</t>
  </si>
  <si>
    <t xml:space="preserve"> DM</t>
  </si>
  <si>
    <t>%</t>
  </si>
  <si>
    <t>Theaterhaus 
Stuttgart</t>
  </si>
  <si>
    <t>Personal-
kosten 
eigene Mitarb.</t>
  </si>
  <si>
    <t>Gagen u. Honorare</t>
  </si>
  <si>
    <t>Gesamt-
ausgaben</t>
  </si>
  <si>
    <t>Theater der 
Altstadt im Westen</t>
  </si>
  <si>
    <t>Laboratorium</t>
  </si>
  <si>
    <t>Merlin</t>
  </si>
  <si>
    <t xml:space="preserve">Pro-Kopf-
Zuschuss
aus Netto-
Zuschuss
</t>
  </si>
  <si>
    <t>Gast-
spiele
-Eigene
-Fremde</t>
  </si>
  <si>
    <t>Gesamt-zuschuss in % zu Ge-samtaus-
gaben</t>
  </si>
  <si>
    <t xml:space="preserve">
</t>
  </si>
  <si>
    <t>Gäste  (Einzel-künstler oder Künstler-Gruppen)</t>
  </si>
  <si>
    <t>Feste Mit-arbeiter</t>
  </si>
  <si>
    <t>Besucher
Vorstell-ungen</t>
  </si>
  <si>
    <t>Theater Rampe</t>
  </si>
  <si>
    <t xml:space="preserve">inst. Zuschuss Stadt
Land
</t>
  </si>
  <si>
    <t>Anzahl
sonstige
Veran-stalt-ungen</t>
  </si>
  <si>
    <t>Euro</t>
  </si>
  <si>
    <t>Platz-
aus-nutzung</t>
  </si>
  <si>
    <t>Eigenein-
nahmen/ 
Eintritts
erlöse/
Sonst.</t>
  </si>
  <si>
    <t>Eurythmeum</t>
  </si>
  <si>
    <t>Dreigroschentheater</t>
  </si>
  <si>
    <t>Theater Tredeschin</t>
  </si>
  <si>
    <t>Theater am Faden</t>
  </si>
  <si>
    <t>Renitenz-
Theater</t>
  </si>
  <si>
    <t>Altes Schauspielhaus/
Komödie im Marquardt</t>
  </si>
  <si>
    <t>Neuproduktionen
-Eigene
-Ko-
produktionen</t>
  </si>
  <si>
    <t>Weitere Zuschüsse
Stadt
Land
Sonstige</t>
  </si>
  <si>
    <t xml:space="preserve">Gesamt-zuschuss
inst.
</t>
  </si>
  <si>
    <t>Netto-Zuschuss
(Gesamtzu-
schuss inst. 
abzgl.
Raumk.)</t>
  </si>
  <si>
    <t xml:space="preserve">Raum-
kosten
inkl. NK
</t>
  </si>
  <si>
    <t>Theater</t>
  </si>
  <si>
    <t>Soziokultur</t>
  </si>
  <si>
    <t>1) Durchschnittswert für den Bereich Bühne</t>
  </si>
  <si>
    <t>Anzahl Sonstige
Veran-stalt-ungen</t>
  </si>
  <si>
    <t xml:space="preserve">Gesamtbesucher
Veranstaltungen </t>
  </si>
  <si>
    <t>Anzahl eintritts-pflichtige Veranstaltungen</t>
  </si>
  <si>
    <t xml:space="preserve">Kennzahlen 2009 - Theater </t>
  </si>
  <si>
    <t>Kennzahlen 2009 - Soziokultur</t>
  </si>
  <si>
    <t>FITZ!</t>
  </si>
  <si>
    <t>Forum Theater</t>
  </si>
  <si>
    <t>Kommunales Kontakt Theater</t>
  </si>
  <si>
    <r>
      <t>Junges Ensemble Stuttgart
(</t>
    </r>
    <r>
      <rPr>
        <b/>
        <sz val="8"/>
        <rFont val="Arial"/>
        <family val="2"/>
      </rPr>
      <t>ohne Festival "Schöne Aussicht)</t>
    </r>
  </si>
  <si>
    <t>60.000
0</t>
  </si>
  <si>
    <t>100
0</t>
  </si>
  <si>
    <t>begleicht Verein Forum 3 e.V.</t>
  </si>
  <si>
    <t>20.000
7.000
0</t>
  </si>
  <si>
    <t>3
1</t>
  </si>
  <si>
    <t>0
6</t>
  </si>
  <si>
    <t>60 - 117</t>
  </si>
  <si>
    <t>13.000
1.700</t>
  </si>
  <si>
    <t>88
12</t>
  </si>
  <si>
    <t xml:space="preserve">k.A. </t>
  </si>
  <si>
    <t>3
0</t>
  </si>
  <si>
    <t>0
29</t>
  </si>
  <si>
    <t>107.100
0</t>
  </si>
  <si>
    <t xml:space="preserve">7 (inkl. geringfügig Beschäftigte) </t>
  </si>
  <si>
    <t xml:space="preserve">71.414 (inkl. geringfügig Beschäftigte) </t>
  </si>
  <si>
    <t>12
6</t>
  </si>
  <si>
    <t>6
22</t>
  </si>
  <si>
    <t>465.000
196.300</t>
  </si>
  <si>
    <t>70
30</t>
  </si>
  <si>
    <t>6
0</t>
  </si>
  <si>
    <t>5
12</t>
  </si>
  <si>
    <t xml:space="preserve">Saal: 188
Foyer: 50
Empore: 46 </t>
  </si>
  <si>
    <t>32.000
11.000</t>
  </si>
  <si>
    <t>74
26</t>
  </si>
  <si>
    <t>19.000
0
0</t>
  </si>
  <si>
    <t>1
43</t>
  </si>
  <si>
    <t>1
3</t>
  </si>
  <si>
    <t>538.000
235.800</t>
  </si>
  <si>
    <t>0
8.559
8.500</t>
  </si>
  <si>
    <t>5
8</t>
  </si>
  <si>
    <t>6
14</t>
  </si>
  <si>
    <t>10 - 240</t>
  </si>
  <si>
    <t>77
23</t>
  </si>
  <si>
    <t>0</t>
  </si>
  <si>
    <t>14 zzgl.  26 Aushilfen</t>
  </si>
  <si>
    <t>0
5</t>
  </si>
  <si>
    <t>max. 154</t>
  </si>
  <si>
    <t>754.400
226.500</t>
  </si>
  <si>
    <t>2.500.700
822.500</t>
  </si>
  <si>
    <t>75
25</t>
  </si>
  <si>
    <t>5.000
10.000
0</t>
  </si>
  <si>
    <t>80-100</t>
  </si>
  <si>
    <t>31
2</t>
  </si>
  <si>
    <t>10
4</t>
  </si>
  <si>
    <t>SspHaus 454 Komödie 378
TuD 40</t>
  </si>
  <si>
    <t>7.000
4.163
2.000</t>
  </si>
  <si>
    <t>192.600
57.692</t>
  </si>
  <si>
    <t>10.800
4.900
5.000</t>
  </si>
  <si>
    <t>5
10</t>
  </si>
  <si>
    <t>2
0</t>
  </si>
  <si>
    <t>Theater
60 - 180
Sonst.
10-30</t>
  </si>
  <si>
    <r>
      <t xml:space="preserve">   76,6 % </t>
    </r>
    <r>
      <rPr>
        <vertAlign val="superscript"/>
        <sz val="10"/>
        <rFont val="Arial"/>
        <family val="2"/>
      </rPr>
      <t>1)</t>
    </r>
  </si>
  <si>
    <t>Bühne: 146
Soziok. 222
Sonst. : 218</t>
  </si>
  <si>
    <t>Bühne: 13.592
Soziok. 3.700
Sonst. : 4.970</t>
  </si>
  <si>
    <t>134.000
0</t>
  </si>
  <si>
    <t>24.000
19.000
0</t>
  </si>
  <si>
    <t>3 Vollzeit
3 Teilzeit</t>
  </si>
  <si>
    <t>3
13</t>
  </si>
  <si>
    <t>2
10</t>
  </si>
  <si>
    <t>Anzahl
Theatervor-
stellungen im eigenen Haus</t>
  </si>
  <si>
    <t>Studio
147
Kruschtel
63</t>
  </si>
  <si>
    <t>-</t>
  </si>
  <si>
    <t>Studio
6.844
Kruschtel
3.717</t>
  </si>
  <si>
    <t>Studio
30-71
Kruschtel
36-68</t>
  </si>
  <si>
    <t>Studio
80,00 %
Kruschtel
86,76% und gesamt 82,53</t>
  </si>
  <si>
    <t>490.700
0</t>
  </si>
  <si>
    <t>20.000
0
0</t>
  </si>
  <si>
    <t>0
275</t>
  </si>
  <si>
    <t>40 - 140</t>
  </si>
  <si>
    <t>4 Personen bei 2,75 Stellen</t>
  </si>
  <si>
    <t>5.250
11.000
0</t>
  </si>
  <si>
    <t>1.244.800
564.300</t>
  </si>
  <si>
    <t>69
31</t>
  </si>
  <si>
    <t>4
2</t>
  </si>
  <si>
    <t>30
25</t>
  </si>
  <si>
    <t>divergierend</t>
  </si>
  <si>
    <t>ohne Gastspiele
31.905</t>
  </si>
  <si>
    <t xml:space="preserve">
ohne Gastspiele
336</t>
  </si>
  <si>
    <t>9.000
0</t>
  </si>
  <si>
    <t>750
5.400
0</t>
  </si>
  <si>
    <t>1
2</t>
  </si>
  <si>
    <t>113
5</t>
  </si>
  <si>
    <t>50.000
42.900</t>
  </si>
  <si>
    <t>54
46</t>
  </si>
  <si>
    <t>13
0</t>
  </si>
  <si>
    <t>76
6</t>
  </si>
  <si>
    <t>50/70/180</t>
  </si>
  <si>
    <t>362.600
167.800</t>
  </si>
  <si>
    <t>68
32</t>
  </si>
  <si>
    <t>34.709
3.000
101.238</t>
  </si>
  <si>
    <t>4
1</t>
  </si>
  <si>
    <t>5
98</t>
  </si>
  <si>
    <t>1.271.000
460.600</t>
  </si>
  <si>
    <t>73
27</t>
  </si>
  <si>
    <t>48.000
16.000
0</t>
  </si>
  <si>
    <t>7
0</t>
  </si>
  <si>
    <t>20
403</t>
  </si>
  <si>
    <t>102 - 450
bis zu 1.050</t>
  </si>
  <si>
    <t>Theater
67.843</t>
  </si>
  <si>
    <t>85.600
26.097</t>
  </si>
  <si>
    <t>0
0
6.095</t>
  </si>
  <si>
    <t>1  und
1 Niedrig-
lohn</t>
  </si>
  <si>
    <t>0
0</t>
  </si>
  <si>
    <t>0
3</t>
  </si>
  <si>
    <t>1 (LAB-Festival)</t>
  </si>
  <si>
    <t>Vewendungsnachweis 2009 liegt noch nicht vor</t>
  </si>
  <si>
    <t>8.141
+ 10.000 LAB-Festival</t>
  </si>
  <si>
    <t>78 % inkl. LAB-Festival</t>
  </si>
  <si>
    <t>Genaue Daten liegen nicht vor</t>
  </si>
  <si>
    <r>
      <t xml:space="preserve">Theater 
tri-bühne 
</t>
    </r>
    <r>
      <rPr>
        <b/>
        <sz val="8"/>
        <rFont val="Arial"/>
        <family val="2"/>
      </rPr>
      <t>(ohne Festival SETT)</t>
    </r>
  </si>
  <si>
    <r>
      <t xml:space="preserve">Theater in der Badewanne 
</t>
    </r>
    <r>
      <rPr>
        <b/>
        <sz val="8"/>
        <rFont val="Arial"/>
        <family val="2"/>
      </rPr>
      <t>(ohne Märchenwoche)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</si>
</sst>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\ &quot;DM&quot;"/>
    <numFmt numFmtId="174" formatCode="0.0"/>
    <numFmt numFmtId="175" formatCode="0.0%"/>
    <numFmt numFmtId="176" formatCode="#,##0.0"/>
    <numFmt numFmtId="177" formatCode="_-* #,##0.00\ [$€]_-;\-* #,##0.00\ [$€]_-;_-* &quot;-&quot;??\ [$€]_-;_-@_-"/>
  </numFmts>
  <fonts count="1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.5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175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horizontal="center" vertical="top" wrapText="1"/>
    </xf>
    <xf numFmtId="3" fontId="0" fillId="0" borderId="2" xfId="0" applyNumberFormat="1" applyFont="1" applyFill="1" applyBorder="1" applyAlignment="1">
      <alignment horizontal="left" vertical="top" wrapText="1"/>
    </xf>
    <xf numFmtId="175" fontId="0" fillId="0" borderId="2" xfId="0" applyNumberFormat="1" applyFont="1" applyFill="1" applyBorder="1" applyAlignment="1">
      <alignment horizontal="center" vertical="top" wrapText="1"/>
    </xf>
    <xf numFmtId="2" fontId="0" fillId="0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wrapText="1"/>
    </xf>
    <xf numFmtId="174" fontId="0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175" fontId="0" fillId="0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 wrapText="1"/>
    </xf>
    <xf numFmtId="174" fontId="0" fillId="0" borderId="2" xfId="0" applyNumberFormat="1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horizontal="right" wrapText="1"/>
    </xf>
    <xf numFmtId="175" fontId="0" fillId="0" borderId="2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75" fontId="0" fillId="0" borderId="2" xfId="0" applyNumberFormat="1" applyFont="1" applyFill="1" applyBorder="1" applyAlignment="1">
      <alignment horizontal="right" wrapText="1"/>
    </xf>
    <xf numFmtId="2" fontId="0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176" fontId="0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 horizontal="right" wrapText="1"/>
    </xf>
    <xf numFmtId="3" fontId="0" fillId="0" borderId="3" xfId="0" applyNumberFormat="1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right" wrapText="1"/>
    </xf>
    <xf numFmtId="175" fontId="0" fillId="0" borderId="3" xfId="0" applyNumberFormat="1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175" fontId="0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3" fontId="6" fillId="0" borderId="2" xfId="0" applyNumberFormat="1" applyFont="1" applyFill="1" applyBorder="1" applyAlignment="1">
      <alignment horizontal="center" vertical="top" wrapText="1"/>
    </xf>
    <xf numFmtId="3" fontId="0" fillId="0" borderId="4" xfId="0" applyNumberFormat="1" applyFont="1" applyFill="1" applyBorder="1" applyAlignment="1">
      <alignment horizontal="right" wrapText="1"/>
    </xf>
    <xf numFmtId="3" fontId="0" fillId="0" borderId="5" xfId="0" applyNumberFormat="1" applyFont="1" applyFill="1" applyBorder="1" applyAlignment="1">
      <alignment horizontal="right" wrapText="1"/>
    </xf>
    <xf numFmtId="3" fontId="0" fillId="0" borderId="6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horizontal="right" wrapText="1"/>
    </xf>
    <xf numFmtId="3" fontId="7" fillId="0" borderId="2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 wrapText="1"/>
    </xf>
    <xf numFmtId="175" fontId="6" fillId="0" borderId="2" xfId="0" applyNumberFormat="1" applyFont="1" applyFill="1" applyBorder="1" applyAlignment="1">
      <alignment horizontal="right" wrapText="1"/>
    </xf>
    <xf numFmtId="3" fontId="0" fillId="0" borderId="4" xfId="0" applyNumberFormat="1" applyFont="1" applyFill="1" applyBorder="1" applyAlignment="1">
      <alignment horizontal="center" vertical="top" wrapText="1"/>
    </xf>
    <xf numFmtId="3" fontId="0" fillId="0" borderId="5" xfId="0" applyNumberFormat="1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left" wrapText="1"/>
    </xf>
    <xf numFmtId="3" fontId="0" fillId="0" borderId="4" xfId="0" applyNumberFormat="1" applyFont="1" applyFill="1" applyBorder="1" applyAlignment="1">
      <alignment horizontal="left" wrapText="1"/>
    </xf>
    <xf numFmtId="3" fontId="0" fillId="0" borderId="8" xfId="0" applyNumberFormat="1" applyFont="1" applyFill="1" applyBorder="1" applyAlignment="1">
      <alignment horizontal="left" wrapText="1"/>
    </xf>
    <xf numFmtId="3" fontId="0" fillId="0" borderId="5" xfId="0" applyNumberFormat="1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65" zoomScaleNormal="65" zoomScaleSheetLayoutView="70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4" sqref="H4"/>
    </sheetView>
  </sheetViews>
  <sheetFormatPr defaultColWidth="11.421875" defaultRowHeight="12.75"/>
  <cols>
    <col min="1" max="1" width="34.28125" style="1" customWidth="1"/>
    <col min="2" max="2" width="14.7109375" style="2" hidden="1" customWidth="1"/>
    <col min="3" max="3" width="9.57421875" style="3" customWidth="1"/>
    <col min="4" max="4" width="5.28125" style="3" customWidth="1"/>
    <col min="5" max="5" width="10.8515625" style="3" bestFit="1" customWidth="1"/>
    <col min="6" max="6" width="9.00390625" style="3" customWidth="1"/>
    <col min="7" max="7" width="11.140625" style="3" customWidth="1"/>
    <col min="8" max="8" width="9.7109375" style="3" customWidth="1"/>
    <col min="9" max="10" width="11.57421875" style="3" customWidth="1"/>
    <col min="11" max="11" width="9.8515625" style="3" customWidth="1"/>
    <col min="12" max="12" width="10.28125" style="3" bestFit="1" customWidth="1"/>
    <col min="13" max="13" width="10.7109375" style="3" customWidth="1"/>
    <col min="14" max="14" width="9.00390625" style="3" customWidth="1"/>
    <col min="15" max="15" width="8.421875" style="3" customWidth="1"/>
    <col min="16" max="16" width="10.28125" style="3" customWidth="1"/>
    <col min="17" max="17" width="9.00390625" style="3" customWidth="1"/>
    <col min="18" max="18" width="11.57421875" style="3" customWidth="1"/>
    <col min="19" max="19" width="11.00390625" style="3" customWidth="1"/>
    <col min="20" max="20" width="9.28125" style="4" customWidth="1"/>
    <col min="21" max="21" width="9.28125" style="5" customWidth="1"/>
    <col min="22" max="22" width="10.421875" style="1" customWidth="1"/>
    <col min="23" max="23" width="9.140625" style="4" customWidth="1"/>
    <col min="24" max="16384" width="11.421875" style="1" customWidth="1"/>
  </cols>
  <sheetData>
    <row r="1" spans="1:23" s="7" customFormat="1" ht="33" customHeight="1">
      <c r="A1" s="6" t="s">
        <v>51</v>
      </c>
      <c r="C1" s="8"/>
      <c r="E1" s="9"/>
      <c r="F1" s="10"/>
      <c r="G1" s="10"/>
      <c r="H1" s="10"/>
      <c r="I1" s="10"/>
      <c r="J1" s="10"/>
      <c r="K1" s="10"/>
      <c r="L1" s="10" t="s">
        <v>24</v>
      </c>
      <c r="M1" s="8"/>
      <c r="N1" s="10"/>
      <c r="O1" s="10"/>
      <c r="P1" s="10"/>
      <c r="Q1" s="10"/>
      <c r="R1" s="10"/>
      <c r="S1" s="10"/>
      <c r="T1" s="11"/>
      <c r="U1" s="12"/>
      <c r="V1" s="12"/>
      <c r="W1" s="13"/>
    </row>
    <row r="2" spans="1:23" s="15" customFormat="1" ht="94.5" customHeight="1">
      <c r="A2" s="14" t="s">
        <v>45</v>
      </c>
      <c r="B2" s="15" t="s">
        <v>2</v>
      </c>
      <c r="C2" s="62" t="s">
        <v>29</v>
      </c>
      <c r="D2" s="63"/>
      <c r="E2" s="16" t="s">
        <v>42</v>
      </c>
      <c r="F2" s="16" t="s">
        <v>44</v>
      </c>
      <c r="G2" s="54" t="s">
        <v>43</v>
      </c>
      <c r="H2" s="16" t="s">
        <v>41</v>
      </c>
      <c r="I2" s="16" t="s">
        <v>26</v>
      </c>
      <c r="J2" s="16" t="s">
        <v>15</v>
      </c>
      <c r="K2" s="16" t="s">
        <v>25</v>
      </c>
      <c r="L2" s="16" t="s">
        <v>16</v>
      </c>
      <c r="M2" s="16" t="s">
        <v>17</v>
      </c>
      <c r="N2" s="17" t="s">
        <v>40</v>
      </c>
      <c r="O2" s="16" t="s">
        <v>22</v>
      </c>
      <c r="P2" s="16" t="s">
        <v>116</v>
      </c>
      <c r="Q2" s="16" t="s">
        <v>30</v>
      </c>
      <c r="R2" s="16" t="s">
        <v>27</v>
      </c>
      <c r="S2" s="16" t="s">
        <v>0</v>
      </c>
      <c r="T2" s="18" t="s">
        <v>32</v>
      </c>
      <c r="U2" s="19" t="s">
        <v>21</v>
      </c>
      <c r="V2" s="20" t="s">
        <v>33</v>
      </c>
      <c r="W2" s="18" t="s">
        <v>23</v>
      </c>
    </row>
    <row r="3" spans="1:23" s="26" customFormat="1" ht="14.25" customHeight="1">
      <c r="A3" s="21"/>
      <c r="B3" s="22" t="s">
        <v>12</v>
      </c>
      <c r="C3" s="16" t="s">
        <v>31</v>
      </c>
      <c r="D3" s="23" t="s">
        <v>13</v>
      </c>
      <c r="E3" s="16" t="s">
        <v>31</v>
      </c>
      <c r="F3" s="16" t="s">
        <v>31</v>
      </c>
      <c r="G3" s="16" t="s">
        <v>31</v>
      </c>
      <c r="H3" s="16" t="s">
        <v>31</v>
      </c>
      <c r="I3" s="16"/>
      <c r="J3" s="16" t="s">
        <v>31</v>
      </c>
      <c r="K3" s="16"/>
      <c r="L3" s="16" t="s">
        <v>31</v>
      </c>
      <c r="M3" s="16" t="s">
        <v>31</v>
      </c>
      <c r="N3" s="16"/>
      <c r="O3" s="16"/>
      <c r="P3" s="16"/>
      <c r="Q3" s="16"/>
      <c r="R3" s="16"/>
      <c r="S3" s="16"/>
      <c r="T3" s="18" t="s">
        <v>13</v>
      </c>
      <c r="U3" s="24" t="s">
        <v>31</v>
      </c>
      <c r="V3" s="24" t="s">
        <v>31</v>
      </c>
      <c r="W3" s="25" t="s">
        <v>13</v>
      </c>
    </row>
    <row r="4" spans="1:23" s="34" customFormat="1" ht="66" customHeight="1">
      <c r="A4" s="27" t="s">
        <v>39</v>
      </c>
      <c r="B4" s="28" t="s">
        <v>11</v>
      </c>
      <c r="C4" s="28" t="s">
        <v>95</v>
      </c>
      <c r="D4" s="29" t="s">
        <v>96</v>
      </c>
      <c r="E4" s="28">
        <v>3323200</v>
      </c>
      <c r="F4" s="28">
        <v>977000</v>
      </c>
      <c r="G4" s="28">
        <f>E4-F4</f>
        <v>2346200</v>
      </c>
      <c r="H4" s="28" t="s">
        <v>97</v>
      </c>
      <c r="I4" s="28">
        <v>56</v>
      </c>
      <c r="J4" s="28">
        <v>2181000</v>
      </c>
      <c r="K4" s="28" t="s">
        <v>98</v>
      </c>
      <c r="L4" s="28">
        <v>1780000</v>
      </c>
      <c r="M4" s="31">
        <v>5895000</v>
      </c>
      <c r="N4" s="28" t="s">
        <v>99</v>
      </c>
      <c r="O4" s="28" t="s">
        <v>100</v>
      </c>
      <c r="P4" s="28">
        <v>727</v>
      </c>
      <c r="Q4" s="28">
        <v>134</v>
      </c>
      <c r="R4" s="28">
        <v>206963</v>
      </c>
      <c r="S4" s="28" t="s">
        <v>101</v>
      </c>
      <c r="T4" s="35">
        <v>0.85</v>
      </c>
      <c r="U4" s="36">
        <f>G4/R4</f>
        <v>11.336325816691872</v>
      </c>
      <c r="V4" s="28">
        <f>2231000+249000</f>
        <v>2480000</v>
      </c>
      <c r="W4" s="33">
        <f>E4/M4</f>
        <v>0.5637319762510602</v>
      </c>
    </row>
    <row r="5" spans="1:23" s="34" customFormat="1" ht="66" customHeight="1">
      <c r="A5" s="27" t="s">
        <v>14</v>
      </c>
      <c r="B5" s="28"/>
      <c r="C5" s="28" t="s">
        <v>149</v>
      </c>
      <c r="D5" s="29" t="s">
        <v>150</v>
      </c>
      <c r="E5" s="28">
        <f>1271000+460600</f>
        <v>1731600</v>
      </c>
      <c r="F5" s="28">
        <v>529729</v>
      </c>
      <c r="G5" s="28">
        <f>E5-F5</f>
        <v>1201871</v>
      </c>
      <c r="H5" s="28" t="s">
        <v>151</v>
      </c>
      <c r="I5" s="28">
        <v>73.5</v>
      </c>
      <c r="J5" s="28">
        <v>2804429</v>
      </c>
      <c r="K5" s="28">
        <v>8</v>
      </c>
      <c r="L5" s="28">
        <v>411916</v>
      </c>
      <c r="M5" s="31">
        <v>7334179</v>
      </c>
      <c r="N5" s="28" t="s">
        <v>152</v>
      </c>
      <c r="O5" s="28" t="s">
        <v>153</v>
      </c>
      <c r="P5" s="28">
        <v>299</v>
      </c>
      <c r="Q5" s="28">
        <v>579</v>
      </c>
      <c r="R5" s="28" t="s">
        <v>155</v>
      </c>
      <c r="S5" s="28" t="s">
        <v>154</v>
      </c>
      <c r="T5" s="35">
        <v>0.7053</v>
      </c>
      <c r="U5" s="36">
        <f>G5/67843</f>
        <v>17.715475435932962</v>
      </c>
      <c r="V5" s="28">
        <f>3388526+2137484</f>
        <v>5526010</v>
      </c>
      <c r="W5" s="33">
        <f>E5/M5</f>
        <v>0.23610004609922938</v>
      </c>
    </row>
    <row r="6" spans="1:23" s="34" customFormat="1" ht="50.25" customHeight="1">
      <c r="A6" s="27" t="s">
        <v>56</v>
      </c>
      <c r="B6" s="28"/>
      <c r="C6" s="28" t="s">
        <v>128</v>
      </c>
      <c r="D6" s="29" t="s">
        <v>129</v>
      </c>
      <c r="E6" s="28">
        <f>1244800+564300</f>
        <v>1809100</v>
      </c>
      <c r="F6" s="28">
        <v>543030.6</v>
      </c>
      <c r="G6" s="28">
        <f aca="true" t="shared" si="0" ref="G6:G12">E6-F6</f>
        <v>1266069.4</v>
      </c>
      <c r="H6" s="28" t="s">
        <v>127</v>
      </c>
      <c r="I6" s="28">
        <v>20</v>
      </c>
      <c r="J6" s="28">
        <v>904243.75</v>
      </c>
      <c r="K6" s="28">
        <v>25</v>
      </c>
      <c r="L6" s="28">
        <v>178245.87</v>
      </c>
      <c r="M6" s="31">
        <v>2028003.31</v>
      </c>
      <c r="N6" s="28" t="s">
        <v>130</v>
      </c>
      <c r="O6" s="28" t="s">
        <v>131</v>
      </c>
      <c r="P6" s="28" t="s">
        <v>134</v>
      </c>
      <c r="Q6" s="28">
        <v>1082</v>
      </c>
      <c r="R6" s="28" t="s">
        <v>133</v>
      </c>
      <c r="S6" s="28" t="s">
        <v>132</v>
      </c>
      <c r="T6" s="35">
        <v>0.9319</v>
      </c>
      <c r="U6" s="36">
        <f>G6/31905</f>
        <v>39.68247610092462</v>
      </c>
      <c r="V6" s="28">
        <f>198085.82+1069.62</f>
        <v>199155.44</v>
      </c>
      <c r="W6" s="33">
        <f aca="true" t="shared" si="1" ref="W6:W14">E6/M6</f>
        <v>0.8920596880090891</v>
      </c>
    </row>
    <row r="7" spans="1:23" s="34" customFormat="1" ht="52.5" customHeight="1">
      <c r="A7" s="27" t="s">
        <v>166</v>
      </c>
      <c r="B7" s="28" t="s">
        <v>1</v>
      </c>
      <c r="C7" s="28" t="s">
        <v>94</v>
      </c>
      <c r="D7" s="29" t="s">
        <v>89</v>
      </c>
      <c r="E7" s="28">
        <f>754400+226500</f>
        <v>980900</v>
      </c>
      <c r="F7" s="28">
        <v>321363.95</v>
      </c>
      <c r="G7" s="28">
        <f t="shared" si="0"/>
        <v>659536.05</v>
      </c>
      <c r="H7" s="58" t="s">
        <v>90</v>
      </c>
      <c r="I7" s="38" t="s">
        <v>91</v>
      </c>
      <c r="J7" s="31">
        <v>620202.67</v>
      </c>
      <c r="K7" s="28">
        <v>16</v>
      </c>
      <c r="L7" s="31">
        <v>59076.38</v>
      </c>
      <c r="M7" s="31">
        <f>1127640.4+45200.28</f>
        <v>1172840.68</v>
      </c>
      <c r="N7" s="28" t="s">
        <v>67</v>
      </c>
      <c r="O7" s="28" t="s">
        <v>92</v>
      </c>
      <c r="P7" s="28">
        <v>183</v>
      </c>
      <c r="Q7" s="28">
        <v>0</v>
      </c>
      <c r="R7" s="28">
        <v>18252</v>
      </c>
      <c r="S7" s="28" t="s">
        <v>93</v>
      </c>
      <c r="T7" s="35">
        <v>0.7535</v>
      </c>
      <c r="U7" s="36">
        <f>G7/R7</f>
        <v>36.13500164365549</v>
      </c>
      <c r="V7" s="28">
        <f>139448.52+13097.45+47367.9</f>
        <v>199913.87</v>
      </c>
      <c r="W7" s="33">
        <f t="shared" si="1"/>
        <v>0.8363454787397041</v>
      </c>
    </row>
    <row r="8" spans="1:23" s="34" customFormat="1" ht="45.75" customHeight="1">
      <c r="A8" s="27" t="s">
        <v>28</v>
      </c>
      <c r="B8" s="32" t="s">
        <v>9</v>
      </c>
      <c r="C8" s="28" t="s">
        <v>84</v>
      </c>
      <c r="D8" s="29" t="s">
        <v>75</v>
      </c>
      <c r="E8" s="28">
        <f>538000+235800</f>
        <v>773800</v>
      </c>
      <c r="F8" s="28">
        <v>189048</v>
      </c>
      <c r="G8" s="28">
        <f t="shared" si="0"/>
        <v>584752</v>
      </c>
      <c r="H8" s="28" t="s">
        <v>85</v>
      </c>
      <c r="I8" s="28">
        <v>16</v>
      </c>
      <c r="J8" s="28">
        <v>476471</v>
      </c>
      <c r="K8" s="28">
        <v>23</v>
      </c>
      <c r="L8" s="28">
        <v>54605</v>
      </c>
      <c r="M8" s="31">
        <v>958473</v>
      </c>
      <c r="N8" s="28" t="s">
        <v>86</v>
      </c>
      <c r="O8" s="28" t="s">
        <v>87</v>
      </c>
      <c r="P8" s="28">
        <v>207</v>
      </c>
      <c r="Q8" s="28">
        <v>30</v>
      </c>
      <c r="R8" s="28">
        <v>12453</v>
      </c>
      <c r="S8" s="28" t="s">
        <v>88</v>
      </c>
      <c r="T8" s="61" t="s">
        <v>165</v>
      </c>
      <c r="U8" s="36">
        <f>G8/R8</f>
        <v>46.95671725688589</v>
      </c>
      <c r="V8" s="28">
        <f>150004+47666</f>
        <v>197670</v>
      </c>
      <c r="W8" s="33">
        <f t="shared" si="1"/>
        <v>0.8073258192979875</v>
      </c>
    </row>
    <row r="9" spans="1:23" s="34" customFormat="1" ht="47.25" customHeight="1">
      <c r="A9" s="27" t="s">
        <v>53</v>
      </c>
      <c r="B9" s="28" t="s">
        <v>3</v>
      </c>
      <c r="C9" s="28" t="s">
        <v>122</v>
      </c>
      <c r="D9" s="29" t="s">
        <v>58</v>
      </c>
      <c r="E9" s="37">
        <v>490700</v>
      </c>
      <c r="F9" s="28">
        <v>182566</v>
      </c>
      <c r="G9" s="28">
        <f t="shared" si="0"/>
        <v>308134</v>
      </c>
      <c r="H9" s="28" t="s">
        <v>123</v>
      </c>
      <c r="I9" s="38" t="s">
        <v>126</v>
      </c>
      <c r="J9" s="28">
        <v>128786</v>
      </c>
      <c r="K9" s="28">
        <v>44</v>
      </c>
      <c r="L9" s="28">
        <v>188219</v>
      </c>
      <c r="M9" s="31">
        <v>641715</v>
      </c>
      <c r="N9" s="28" t="s">
        <v>62</v>
      </c>
      <c r="O9" s="28" t="s">
        <v>124</v>
      </c>
      <c r="P9" s="28">
        <v>275</v>
      </c>
      <c r="Q9" s="44">
        <v>0</v>
      </c>
      <c r="R9" s="28">
        <v>18144</v>
      </c>
      <c r="S9" s="28" t="s">
        <v>125</v>
      </c>
      <c r="T9" s="35">
        <v>0.7314</v>
      </c>
      <c r="U9" s="36">
        <f>G9/R9</f>
        <v>16.982694003527335</v>
      </c>
      <c r="V9" s="28">
        <f>88194+45461</f>
        <v>133655</v>
      </c>
      <c r="W9" s="33">
        <f t="shared" si="1"/>
        <v>0.7646696742323306</v>
      </c>
    </row>
    <row r="10" spans="1:23" s="34" customFormat="1" ht="45.75" customHeight="1">
      <c r="A10" s="27" t="s">
        <v>18</v>
      </c>
      <c r="B10" s="28" t="s">
        <v>4</v>
      </c>
      <c r="C10" s="28" t="s">
        <v>74</v>
      </c>
      <c r="D10" s="29" t="s">
        <v>75</v>
      </c>
      <c r="E10" s="28">
        <f>465000+196300</f>
        <v>661300</v>
      </c>
      <c r="F10" s="28">
        <v>155877</v>
      </c>
      <c r="G10" s="28">
        <f t="shared" si="0"/>
        <v>505423</v>
      </c>
      <c r="H10" s="28">
        <v>0</v>
      </c>
      <c r="I10" s="28">
        <v>10</v>
      </c>
      <c r="J10" s="28">
        <v>382571</v>
      </c>
      <c r="K10" s="28">
        <v>20</v>
      </c>
      <c r="L10" s="28">
        <v>149301</v>
      </c>
      <c r="M10" s="31">
        <v>946711</v>
      </c>
      <c r="N10" s="28" t="s">
        <v>76</v>
      </c>
      <c r="O10" s="28" t="s">
        <v>77</v>
      </c>
      <c r="P10" s="28">
        <v>184</v>
      </c>
      <c r="Q10" s="28">
        <v>0</v>
      </c>
      <c r="R10" s="28">
        <v>22463</v>
      </c>
      <c r="S10" s="28" t="s">
        <v>78</v>
      </c>
      <c r="T10" s="35">
        <v>0.6483</v>
      </c>
      <c r="U10" s="36">
        <f>G10/R10</f>
        <v>22.500244847081866</v>
      </c>
      <c r="V10" s="28">
        <f>263098+25714</f>
        <v>288812</v>
      </c>
      <c r="W10" s="33">
        <f t="shared" si="1"/>
        <v>0.6985236254781026</v>
      </c>
    </row>
    <row r="11" spans="1:23" s="34" customFormat="1" ht="45.75" customHeight="1">
      <c r="A11" s="27" t="s">
        <v>38</v>
      </c>
      <c r="B11" s="28" t="s">
        <v>10</v>
      </c>
      <c r="C11" s="28" t="s">
        <v>144</v>
      </c>
      <c r="D11" s="29" t="s">
        <v>145</v>
      </c>
      <c r="E11" s="28">
        <f>362600+167800</f>
        <v>530400</v>
      </c>
      <c r="F11" s="28">
        <v>308043</v>
      </c>
      <c r="G11" s="28">
        <f t="shared" si="0"/>
        <v>222357</v>
      </c>
      <c r="H11" s="28" t="s">
        <v>146</v>
      </c>
      <c r="I11" s="28">
        <v>11</v>
      </c>
      <c r="J11" s="28">
        <v>305058</v>
      </c>
      <c r="K11" s="28">
        <v>98</v>
      </c>
      <c r="L11" s="28">
        <v>369003</v>
      </c>
      <c r="M11" s="28">
        <v>1461500</v>
      </c>
      <c r="N11" s="28" t="s">
        <v>147</v>
      </c>
      <c r="O11" s="28" t="s">
        <v>148</v>
      </c>
      <c r="P11" s="28">
        <v>336</v>
      </c>
      <c r="Q11" s="28">
        <v>6</v>
      </c>
      <c r="R11" s="28">
        <v>34840</v>
      </c>
      <c r="S11" s="28">
        <v>148</v>
      </c>
      <c r="T11" s="35">
        <v>0.7</v>
      </c>
      <c r="U11" s="36">
        <f>G11/R11</f>
        <v>6.382233065442021</v>
      </c>
      <c r="V11" s="28">
        <f>635311+850189</f>
        <v>1485500</v>
      </c>
      <c r="W11" s="33">
        <f t="shared" si="1"/>
        <v>0.3629148135477249</v>
      </c>
    </row>
    <row r="12" spans="1:23" s="34" customFormat="1" ht="89.25" customHeight="1">
      <c r="A12" s="27" t="s">
        <v>7</v>
      </c>
      <c r="B12" s="28">
        <v>640000</v>
      </c>
      <c r="C12" s="28" t="s">
        <v>111</v>
      </c>
      <c r="D12" s="29" t="s">
        <v>58</v>
      </c>
      <c r="E12" s="28">
        <v>134000</v>
      </c>
      <c r="F12" s="28">
        <v>21359.31</v>
      </c>
      <c r="G12" s="28">
        <f t="shared" si="0"/>
        <v>112640.69</v>
      </c>
      <c r="H12" s="28" t="s">
        <v>112</v>
      </c>
      <c r="I12" s="44" t="s">
        <v>113</v>
      </c>
      <c r="J12" s="28">
        <v>71804.53</v>
      </c>
      <c r="K12" s="28">
        <v>70</v>
      </c>
      <c r="L12" s="28">
        <v>108989.09</v>
      </c>
      <c r="M12" s="28">
        <v>291380.96</v>
      </c>
      <c r="N12" s="28" t="s">
        <v>114</v>
      </c>
      <c r="O12" s="28" t="s">
        <v>115</v>
      </c>
      <c r="P12" s="28" t="s">
        <v>117</v>
      </c>
      <c r="Q12" s="30" t="s">
        <v>118</v>
      </c>
      <c r="R12" s="28" t="s">
        <v>119</v>
      </c>
      <c r="S12" s="28" t="s">
        <v>120</v>
      </c>
      <c r="T12" s="35" t="s">
        <v>121</v>
      </c>
      <c r="U12" s="36">
        <f>G12/(6844+3717)</f>
        <v>10.665721996023104</v>
      </c>
      <c r="V12" s="28">
        <f>89640.8+25694.85</f>
        <v>115335.65</v>
      </c>
      <c r="W12" s="33">
        <f t="shared" si="1"/>
        <v>0.45987905318178646</v>
      </c>
    </row>
    <row r="13" spans="1:23" s="34" customFormat="1" ht="47.25" customHeight="1">
      <c r="A13" s="27" t="s">
        <v>54</v>
      </c>
      <c r="B13" s="28" t="s">
        <v>8</v>
      </c>
      <c r="C13" s="28" t="s">
        <v>57</v>
      </c>
      <c r="D13" s="29" t="s">
        <v>58</v>
      </c>
      <c r="E13" s="28">
        <v>60000</v>
      </c>
      <c r="F13" s="59" t="s">
        <v>59</v>
      </c>
      <c r="G13" s="28">
        <v>60000</v>
      </c>
      <c r="H13" s="28" t="s">
        <v>60</v>
      </c>
      <c r="I13" s="59" t="s">
        <v>59</v>
      </c>
      <c r="J13" s="59" t="s">
        <v>59</v>
      </c>
      <c r="K13" s="28">
        <v>6</v>
      </c>
      <c r="L13" s="28">
        <v>109121.22</v>
      </c>
      <c r="M13" s="31">
        <v>155315.23</v>
      </c>
      <c r="N13" s="44" t="s">
        <v>61</v>
      </c>
      <c r="O13" s="28" t="s">
        <v>62</v>
      </c>
      <c r="P13" s="28">
        <v>139</v>
      </c>
      <c r="Q13" s="28">
        <v>0</v>
      </c>
      <c r="R13" s="28">
        <v>11512</v>
      </c>
      <c r="S13" s="28" t="s">
        <v>63</v>
      </c>
      <c r="T13" s="35">
        <v>0.7308</v>
      </c>
      <c r="U13" s="36">
        <f>G13/R13</f>
        <v>5.211952744961779</v>
      </c>
      <c r="V13" s="28">
        <f>76704.5+19386.93</f>
        <v>96091.43</v>
      </c>
      <c r="W13" s="33">
        <f t="shared" si="1"/>
        <v>0.38631111707461013</v>
      </c>
    </row>
    <row r="14" spans="1:23" s="34" customFormat="1" ht="45.75" customHeight="1">
      <c r="A14" s="27" t="s">
        <v>34</v>
      </c>
      <c r="B14" s="28" t="s">
        <v>6</v>
      </c>
      <c r="C14" s="28" t="s">
        <v>139</v>
      </c>
      <c r="D14" s="29" t="s">
        <v>140</v>
      </c>
      <c r="E14" s="28">
        <f>50000+42900</f>
        <v>92900</v>
      </c>
      <c r="F14" s="28">
        <v>12027</v>
      </c>
      <c r="G14" s="28">
        <f>E14-F14</f>
        <v>80873</v>
      </c>
      <c r="H14" s="28">
        <v>0</v>
      </c>
      <c r="I14" s="28">
        <v>15</v>
      </c>
      <c r="J14" s="28">
        <v>248163</v>
      </c>
      <c r="K14" s="28">
        <v>5</v>
      </c>
      <c r="L14" s="28">
        <v>20135</v>
      </c>
      <c r="M14" s="31">
        <v>390337</v>
      </c>
      <c r="N14" s="28" t="s">
        <v>141</v>
      </c>
      <c r="O14" s="28" t="s">
        <v>142</v>
      </c>
      <c r="P14" s="28">
        <v>43</v>
      </c>
      <c r="Q14" s="28">
        <v>6</v>
      </c>
      <c r="R14" s="28">
        <v>3846</v>
      </c>
      <c r="S14" s="44" t="s">
        <v>143</v>
      </c>
      <c r="T14" s="35">
        <v>0.66</v>
      </c>
      <c r="U14" s="36">
        <f>G14/R14</f>
        <v>21.027821112844514</v>
      </c>
      <c r="V14" s="28">
        <f>94802+6904</f>
        <v>101706</v>
      </c>
      <c r="W14" s="33">
        <f t="shared" si="1"/>
        <v>0.23799947225090115</v>
      </c>
    </row>
    <row r="15" spans="1:23" s="34" customFormat="1" ht="45.75" customHeight="1">
      <c r="A15" s="39" t="s">
        <v>37</v>
      </c>
      <c r="B15" s="40"/>
      <c r="C15" s="65" t="s">
        <v>162</v>
      </c>
      <c r="D15" s="66"/>
      <c r="E15" s="66"/>
      <c r="F15" s="66"/>
      <c r="G15" s="67"/>
      <c r="H15" s="40"/>
      <c r="I15" s="40"/>
      <c r="J15" s="41"/>
      <c r="K15" s="40"/>
      <c r="L15" s="40"/>
      <c r="M15" s="41"/>
      <c r="N15" s="40"/>
      <c r="O15" s="40"/>
      <c r="P15" s="40"/>
      <c r="Q15" s="40"/>
      <c r="R15" s="40"/>
      <c r="S15" s="42"/>
      <c r="T15" s="43"/>
      <c r="U15" s="36"/>
      <c r="V15" s="40"/>
      <c r="W15" s="33"/>
    </row>
    <row r="16" spans="1:23" s="34" customFormat="1" ht="48.75" customHeight="1">
      <c r="A16" s="27" t="s">
        <v>167</v>
      </c>
      <c r="B16" s="28" t="s">
        <v>5</v>
      </c>
      <c r="C16" s="28" t="s">
        <v>79</v>
      </c>
      <c r="D16" s="29" t="s">
        <v>80</v>
      </c>
      <c r="E16" s="28">
        <f>32000+11000</f>
        <v>43000</v>
      </c>
      <c r="F16" s="28">
        <v>8993.58</v>
      </c>
      <c r="G16" s="28">
        <f>E16-F16</f>
        <v>34006.42</v>
      </c>
      <c r="H16" s="28" t="s">
        <v>81</v>
      </c>
      <c r="I16" s="28">
        <v>3</v>
      </c>
      <c r="J16" s="28">
        <v>50876.51</v>
      </c>
      <c r="K16" s="28">
        <v>9</v>
      </c>
      <c r="L16" s="31">
        <v>17715.51</v>
      </c>
      <c r="M16" s="31">
        <v>116696.54</v>
      </c>
      <c r="N16" s="28" t="s">
        <v>83</v>
      </c>
      <c r="O16" s="28" t="s">
        <v>82</v>
      </c>
      <c r="P16" s="28">
        <v>136</v>
      </c>
      <c r="Q16" s="28">
        <v>0</v>
      </c>
      <c r="R16" s="28">
        <v>12396</v>
      </c>
      <c r="S16" s="28">
        <v>115</v>
      </c>
      <c r="T16" s="35">
        <v>0.7987</v>
      </c>
      <c r="U16" s="36">
        <f>G16/R16</f>
        <v>2.7433381736043883</v>
      </c>
      <c r="V16" s="28">
        <f>52253.5+10378.5</f>
        <v>62632</v>
      </c>
      <c r="W16" s="33">
        <f>E16/M16</f>
        <v>0.3684770773837853</v>
      </c>
    </row>
    <row r="17" spans="1:23" s="34" customFormat="1" ht="45.75" customHeight="1">
      <c r="A17" s="27" t="s">
        <v>35</v>
      </c>
      <c r="B17" s="28"/>
      <c r="C17" s="28" t="s">
        <v>64</v>
      </c>
      <c r="D17" s="29" t="s">
        <v>65</v>
      </c>
      <c r="E17" s="28">
        <f>13000+1700</f>
        <v>14700</v>
      </c>
      <c r="F17" s="28">
        <v>9945</v>
      </c>
      <c r="G17" s="28">
        <f>E17-F17</f>
        <v>4755</v>
      </c>
      <c r="H17" s="28">
        <v>0</v>
      </c>
      <c r="I17" s="44">
        <v>1</v>
      </c>
      <c r="J17" s="28">
        <v>4800</v>
      </c>
      <c r="K17" s="28" t="s">
        <v>66</v>
      </c>
      <c r="L17" s="28">
        <v>1963</v>
      </c>
      <c r="M17" s="31">
        <v>35391</v>
      </c>
      <c r="N17" s="28" t="s">
        <v>67</v>
      </c>
      <c r="O17" s="28" t="s">
        <v>68</v>
      </c>
      <c r="P17" s="28">
        <v>68</v>
      </c>
      <c r="Q17" s="34">
        <v>0</v>
      </c>
      <c r="R17" s="60">
        <v>1900</v>
      </c>
      <c r="S17" s="28">
        <v>50</v>
      </c>
      <c r="T17" s="35">
        <v>0.53</v>
      </c>
      <c r="U17" s="36">
        <f>G17/R17</f>
        <v>2.5026315789473683</v>
      </c>
      <c r="V17" s="28">
        <f>12590+1728+9320</f>
        <v>23638</v>
      </c>
      <c r="W17" s="33">
        <f>E17/M17</f>
        <v>0.4153598372467576</v>
      </c>
    </row>
    <row r="18" spans="1:23" s="34" customFormat="1" ht="45.75" customHeight="1">
      <c r="A18" s="27" t="s">
        <v>36</v>
      </c>
      <c r="B18" s="28"/>
      <c r="C18" s="28" t="s">
        <v>135</v>
      </c>
      <c r="D18" s="29" t="s">
        <v>58</v>
      </c>
      <c r="E18" s="28">
        <v>9000</v>
      </c>
      <c r="F18" s="28">
        <v>18721</v>
      </c>
      <c r="G18" s="28">
        <f>E18-F18</f>
        <v>-9721</v>
      </c>
      <c r="H18" s="28" t="s">
        <v>136</v>
      </c>
      <c r="I18" s="28">
        <v>1</v>
      </c>
      <c r="J18" s="28">
        <v>21802</v>
      </c>
      <c r="K18" s="28">
        <v>7</v>
      </c>
      <c r="L18" s="28">
        <v>6160</v>
      </c>
      <c r="M18" s="31">
        <v>81590</v>
      </c>
      <c r="N18" s="28" t="s">
        <v>137</v>
      </c>
      <c r="O18" s="28" t="s">
        <v>138</v>
      </c>
      <c r="P18" s="28">
        <v>136</v>
      </c>
      <c r="Q18" s="28">
        <v>0</v>
      </c>
      <c r="R18" s="28">
        <v>5808</v>
      </c>
      <c r="S18" s="28">
        <v>80</v>
      </c>
      <c r="T18" s="35">
        <v>0.43</v>
      </c>
      <c r="U18" s="36">
        <f>G18/R18</f>
        <v>-1.6737258953168044</v>
      </c>
      <c r="V18" s="28">
        <f>23502+1650</f>
        <v>25152</v>
      </c>
      <c r="W18" s="33">
        <f>E18/M18</f>
        <v>0.11030763573967398</v>
      </c>
    </row>
    <row r="19" spans="1:23" s="51" customFormat="1" ht="45.75" customHeight="1">
      <c r="A19" s="52"/>
      <c r="B19" s="47"/>
      <c r="C19" s="47"/>
      <c r="D19" s="10"/>
      <c r="E19" s="47"/>
      <c r="F19" s="47"/>
      <c r="G19" s="47"/>
      <c r="H19" s="47"/>
      <c r="I19" s="47"/>
      <c r="J19" s="47"/>
      <c r="K19" s="47"/>
      <c r="L19" s="48"/>
      <c r="M19" s="47"/>
      <c r="N19" s="47"/>
      <c r="O19" s="47"/>
      <c r="P19" s="47"/>
      <c r="Q19" s="47"/>
      <c r="R19" s="47"/>
      <c r="S19" s="47"/>
      <c r="T19" s="49"/>
      <c r="U19" s="50"/>
      <c r="V19" s="47"/>
      <c r="W19" s="13"/>
    </row>
    <row r="20" spans="1:23" s="51" customFormat="1" ht="45.75" customHeight="1">
      <c r="A20" s="6" t="s">
        <v>52</v>
      </c>
      <c r="B20" s="47"/>
      <c r="C20" s="47"/>
      <c r="D20" s="10"/>
      <c r="E20" s="47"/>
      <c r="F20" s="47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9"/>
      <c r="U20" s="50"/>
      <c r="V20" s="47"/>
      <c r="W20" s="13"/>
    </row>
    <row r="21" spans="1:23" s="45" customFormat="1" ht="93" customHeight="1">
      <c r="A21" s="46" t="s">
        <v>46</v>
      </c>
      <c r="B21" s="28"/>
      <c r="C21" s="62" t="s">
        <v>29</v>
      </c>
      <c r="D21" s="63"/>
      <c r="E21" s="16" t="s">
        <v>42</v>
      </c>
      <c r="F21" s="16" t="s">
        <v>44</v>
      </c>
      <c r="G21" s="16" t="s">
        <v>43</v>
      </c>
      <c r="H21" s="16" t="s">
        <v>41</v>
      </c>
      <c r="I21" s="16" t="s">
        <v>26</v>
      </c>
      <c r="J21" s="16" t="s">
        <v>15</v>
      </c>
      <c r="K21" s="16" t="s">
        <v>25</v>
      </c>
      <c r="L21" s="16" t="s">
        <v>16</v>
      </c>
      <c r="M21" s="16" t="s">
        <v>17</v>
      </c>
      <c r="N21" s="17" t="s">
        <v>40</v>
      </c>
      <c r="O21" s="16" t="s">
        <v>22</v>
      </c>
      <c r="P21" s="16" t="s">
        <v>50</v>
      </c>
      <c r="Q21" s="16" t="s">
        <v>48</v>
      </c>
      <c r="R21" s="16" t="s">
        <v>49</v>
      </c>
      <c r="S21" s="16" t="s">
        <v>0</v>
      </c>
      <c r="T21" s="18" t="s">
        <v>32</v>
      </c>
      <c r="U21" s="19" t="s">
        <v>21</v>
      </c>
      <c r="V21" s="20" t="s">
        <v>33</v>
      </c>
      <c r="W21" s="18" t="s">
        <v>23</v>
      </c>
    </row>
    <row r="22" spans="1:23" s="26" customFormat="1" ht="14.25" customHeight="1">
      <c r="A22" s="21"/>
      <c r="B22" s="22" t="s">
        <v>12</v>
      </c>
      <c r="C22" s="16"/>
      <c r="D22" s="23"/>
      <c r="E22" s="16"/>
      <c r="F22" s="16"/>
      <c r="G22" s="16"/>
      <c r="H22" s="16"/>
      <c r="I22" s="16"/>
      <c r="J22" s="57"/>
      <c r="K22" s="16"/>
      <c r="L22" s="16"/>
      <c r="M22" s="16"/>
      <c r="N22" s="16"/>
      <c r="O22" s="16"/>
      <c r="P22" s="16"/>
      <c r="Q22" s="16"/>
      <c r="R22" s="16"/>
      <c r="S22" s="16"/>
      <c r="T22" s="18"/>
      <c r="U22" s="24"/>
      <c r="V22" s="24"/>
      <c r="W22" s="25"/>
    </row>
    <row r="23" spans="1:23" s="34" customFormat="1" ht="54" customHeight="1">
      <c r="A23" s="27" t="s">
        <v>20</v>
      </c>
      <c r="B23" s="28"/>
      <c r="C23" s="28" t="s">
        <v>103</v>
      </c>
      <c r="D23" s="29" t="s">
        <v>89</v>
      </c>
      <c r="E23" s="28">
        <f>192600+57692</f>
        <v>250292</v>
      </c>
      <c r="F23" s="28">
        <v>85964</v>
      </c>
      <c r="G23" s="28">
        <f>E23-F23</f>
        <v>164328</v>
      </c>
      <c r="H23" s="28" t="s">
        <v>104</v>
      </c>
      <c r="I23" s="55">
        <v>3</v>
      </c>
      <c r="J23" s="28">
        <v>137545</v>
      </c>
      <c r="K23" s="56">
        <v>566</v>
      </c>
      <c r="L23" s="28">
        <v>88139</v>
      </c>
      <c r="M23" s="31">
        <v>442897</v>
      </c>
      <c r="N23" s="28" t="s">
        <v>105</v>
      </c>
      <c r="O23" s="28" t="s">
        <v>106</v>
      </c>
      <c r="P23" s="28" t="s">
        <v>109</v>
      </c>
      <c r="Q23" s="28">
        <v>0</v>
      </c>
      <c r="R23" s="28" t="s">
        <v>110</v>
      </c>
      <c r="S23" s="28" t="s">
        <v>107</v>
      </c>
      <c r="T23" s="28" t="s">
        <v>108</v>
      </c>
      <c r="U23" s="36">
        <f>G23/22262</f>
        <v>7.381547030814842</v>
      </c>
      <c r="V23" s="28">
        <f>93863+79988</f>
        <v>173851</v>
      </c>
      <c r="W23" s="33">
        <f>E23/M23</f>
        <v>0.5651246226549288</v>
      </c>
    </row>
    <row r="24" spans="1:23" s="34" customFormat="1" ht="48" customHeight="1">
      <c r="A24" s="27" t="s">
        <v>55</v>
      </c>
      <c r="C24" s="28" t="s">
        <v>69</v>
      </c>
      <c r="D24" s="29" t="s">
        <v>58</v>
      </c>
      <c r="E24" s="28">
        <v>107100</v>
      </c>
      <c r="F24" s="28">
        <v>17949.69</v>
      </c>
      <c r="G24" s="28">
        <f>E24-F24</f>
        <v>89150.31</v>
      </c>
      <c r="H24" s="28" t="s">
        <v>102</v>
      </c>
      <c r="I24" s="44" t="s">
        <v>70</v>
      </c>
      <c r="J24" s="44" t="s">
        <v>71</v>
      </c>
      <c r="K24" s="28">
        <v>28</v>
      </c>
      <c r="L24" s="28">
        <v>26478</v>
      </c>
      <c r="M24" s="31">
        <v>168023.33</v>
      </c>
      <c r="N24" s="28" t="s">
        <v>72</v>
      </c>
      <c r="O24" s="28" t="s">
        <v>73</v>
      </c>
      <c r="P24" s="28">
        <v>106</v>
      </c>
      <c r="Q24" s="28">
        <v>6</v>
      </c>
      <c r="R24" s="44">
        <v>4950</v>
      </c>
      <c r="S24" s="28">
        <v>50</v>
      </c>
      <c r="T24" s="35">
        <v>0.7573</v>
      </c>
      <c r="U24" s="36">
        <f>G24/R24</f>
        <v>18.010163636363636</v>
      </c>
      <c r="V24" s="28">
        <f>39114.28+12390.28</f>
        <v>51504.56</v>
      </c>
      <c r="W24" s="33">
        <f>E24/M24</f>
        <v>0.6374114832743762</v>
      </c>
    </row>
    <row r="25" spans="1:23" s="34" customFormat="1" ht="53.25" customHeight="1">
      <c r="A25" s="27" t="s">
        <v>19</v>
      </c>
      <c r="C25" s="28" t="s">
        <v>156</v>
      </c>
      <c r="D25" s="30" t="s">
        <v>89</v>
      </c>
      <c r="E25" s="28">
        <f>85600+26097</f>
        <v>111697</v>
      </c>
      <c r="F25" s="28">
        <v>30013.76</v>
      </c>
      <c r="G25" s="28">
        <f>E25-F25</f>
        <v>81683.24</v>
      </c>
      <c r="H25" s="28" t="s">
        <v>157</v>
      </c>
      <c r="I25" s="28" t="s">
        <v>158</v>
      </c>
      <c r="J25" s="28">
        <v>50991.73</v>
      </c>
      <c r="K25" s="28">
        <v>110</v>
      </c>
      <c r="L25" s="28">
        <v>96083.36</v>
      </c>
      <c r="M25" s="31">
        <v>293018.83</v>
      </c>
      <c r="N25" s="28" t="s">
        <v>160</v>
      </c>
      <c r="O25" s="28" t="s">
        <v>159</v>
      </c>
      <c r="P25" s="28">
        <v>103</v>
      </c>
      <c r="Q25" s="28" t="s">
        <v>161</v>
      </c>
      <c r="R25" s="44" t="s">
        <v>163</v>
      </c>
      <c r="S25" s="28">
        <v>130</v>
      </c>
      <c r="T25" s="35" t="s">
        <v>164</v>
      </c>
      <c r="U25" s="36">
        <f>G25/18141</f>
        <v>4.5026867317126955</v>
      </c>
      <c r="V25" s="28">
        <v>153460.44</v>
      </c>
      <c r="W25" s="33">
        <f>E25/M25</f>
        <v>0.3811939321442243</v>
      </c>
    </row>
    <row r="26" spans="1:23" s="7" customFormat="1" ht="21.75" customHeight="1">
      <c r="A26" s="64" t="s">
        <v>47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53"/>
    </row>
  </sheetData>
  <mergeCells count="4">
    <mergeCell ref="C2:D2"/>
    <mergeCell ref="A26:V26"/>
    <mergeCell ref="C21:D21"/>
    <mergeCell ref="C15:G15"/>
  </mergeCells>
  <printOptions horizontalCentered="1"/>
  <pageMargins left="0.25" right="0.16" top="0.8267716535433072" bottom="0.6692913385826772" header="0.5118110236220472" footer="0.4330708661417323"/>
  <pageSetup horizontalDpi="300" verticalDpi="300" orientation="landscape" paperSize="9" scale="58" r:id="rId3"/>
  <headerFooter alignWithMargins="0">
    <oddHeader>&amp;C&amp;9                   &amp;12        &amp;R&amp;11Anlage 2 zu GRDrs 209/2010</oddHeader>
    <oddFooter>&amp;L&amp;D&amp;CSeite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LHS-Stuttgart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Vaask</dc:creator>
  <cp:keywords/>
  <dc:description/>
  <cp:lastModifiedBy>u41k021</cp:lastModifiedBy>
  <cp:lastPrinted>2010-09-01T14:07:40Z</cp:lastPrinted>
  <dcterms:created xsi:type="dcterms:W3CDTF">1998-08-04T12:53:24Z</dcterms:created>
  <dcterms:modified xsi:type="dcterms:W3CDTF">2010-09-01T14:09:01Z</dcterms:modified>
  <cp:category/>
  <cp:version/>
  <cp:contentType/>
  <cp:contentStatus/>
</cp:coreProperties>
</file>