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1-00-10\3-Organisation\10_Offene Themen\UMA_2022\GRDrs 2022\"/>
    </mc:Choice>
  </mc:AlternateContent>
  <bookViews>
    <workbookView xWindow="240" yWindow="120" windowWidth="24720" windowHeight="12075"/>
  </bookViews>
  <sheets>
    <sheet name="UMA-ION" sheetId="1" r:id="rId1"/>
  </sheets>
  <definedNames>
    <definedName name="_xlnm.Print_Area" localSheetId="0">'UMA-ION'!$A$1:$J$37</definedName>
  </definedNames>
  <calcPr calcId="162913"/>
</workbook>
</file>

<file path=xl/calcChain.xml><?xml version="1.0" encoding="utf-8"?>
<calcChain xmlns="http://schemas.openxmlformats.org/spreadsheetml/2006/main">
  <c r="E28" i="1" l="1"/>
  <c r="F11" i="1"/>
  <c r="H5" i="1" l="1"/>
  <c r="E5" i="1"/>
  <c r="H24" i="1"/>
  <c r="E24" i="1"/>
  <c r="H23" i="1"/>
  <c r="E23" i="1"/>
  <c r="H22" i="1"/>
  <c r="E22" i="1"/>
  <c r="E13" i="1"/>
  <c r="H13" i="1"/>
  <c r="E15" i="1"/>
  <c r="D15" i="1" s="1"/>
  <c r="E14" i="1"/>
  <c r="C11" i="1"/>
  <c r="E10" i="1"/>
  <c r="E9" i="1"/>
  <c r="E8" i="1"/>
  <c r="E7" i="1"/>
  <c r="E6" i="1"/>
  <c r="I22" i="1" l="1"/>
  <c r="I23" i="1"/>
  <c r="I24" i="1"/>
  <c r="E16" i="1"/>
  <c r="E11" i="1"/>
  <c r="E17" i="1" s="1"/>
  <c r="H14" i="1" l="1"/>
  <c r="H15" i="1"/>
  <c r="E30" i="1" l="1"/>
  <c r="E33" i="1"/>
  <c r="E34" i="1"/>
  <c r="E32" i="1"/>
  <c r="E31" i="1"/>
  <c r="E29" i="1"/>
  <c r="G15" i="1" l="1"/>
  <c r="H9" i="1"/>
  <c r="H8" i="1"/>
  <c r="H7" i="1"/>
  <c r="H10" i="1"/>
  <c r="H6" i="1"/>
  <c r="H11" i="1" l="1"/>
  <c r="E35" i="1" l="1"/>
  <c r="H16" i="1"/>
  <c r="H17" i="1" l="1"/>
  <c r="E18" i="1" s="1"/>
  <c r="J23" i="1" l="1"/>
  <c r="J24" i="1"/>
  <c r="J22" i="1"/>
</calcChain>
</file>

<file path=xl/sharedStrings.xml><?xml version="1.0" encoding="utf-8"?>
<sst xmlns="http://schemas.openxmlformats.org/spreadsheetml/2006/main" count="86" uniqueCount="61">
  <si>
    <t>Bereich</t>
  </si>
  <si>
    <t>Tätigkeit/Bedarf</t>
  </si>
  <si>
    <t>Umfang des (Personal-) Bedarfs</t>
  </si>
  <si>
    <t>Eingrup-pierung</t>
  </si>
  <si>
    <t>Sekretariat</t>
  </si>
  <si>
    <t>51-00-14</t>
  </si>
  <si>
    <t>Zwischensumme ION</t>
  </si>
  <si>
    <t>Sachkosten</t>
  </si>
  <si>
    <t>24 Std./Tag</t>
  </si>
  <si>
    <t>pro Monat</t>
  </si>
  <si>
    <t>Sozialarbeiter/-in</t>
  </si>
  <si>
    <t>51-00-22</t>
  </si>
  <si>
    <t>Gesamtkosten jährlich</t>
  </si>
  <si>
    <t>Sachbearbeitung Rechnungsstellung für 51-00-6</t>
  </si>
  <si>
    <t>1 Wachdienst</t>
  </si>
  <si>
    <t>Pädagogisches Personal</t>
  </si>
  <si>
    <t>HW</t>
  </si>
  <si>
    <t>Sachgebiet UMA</t>
  </si>
  <si>
    <t xml:space="preserve"> 20 UMA</t>
  </si>
  <si>
    <t xml:space="preserve">Miet- und Nebenkosten </t>
  </si>
  <si>
    <t>Sachgebietsleitung</t>
  </si>
  <si>
    <t>Sozialarbeiter/-in 
Alterseinschätzungskommision</t>
  </si>
  <si>
    <t>Sachbearbeitung WJH</t>
  </si>
  <si>
    <t>*) Die Kosten für 2022 sind bereits im Haushalt finanziert.</t>
  </si>
  <si>
    <t>Miet-/Nebenkosten</t>
  </si>
  <si>
    <t>17.000,00 € 
im Monat</t>
  </si>
  <si>
    <t>12,00 € 
pro Tag</t>
  </si>
  <si>
    <t>Sachbearbeitung WJH*
(Verlängerung KW-Vermerk 01/2024)</t>
  </si>
  <si>
    <t>Sachbearbeitung Amtsvormundschaften</t>
  </si>
  <si>
    <t xml:space="preserve"> 15 UMA</t>
  </si>
  <si>
    <t>Wollinstr. 4
20 Plätze</t>
  </si>
  <si>
    <t>Kupferstr. 29
15 Plätze</t>
  </si>
  <si>
    <t>Umfang des 
(Personal-) 
Bedarfs</t>
  </si>
  <si>
    <t>Eingrup-
pierung</t>
  </si>
  <si>
    <t>Zwischensumme 
Sach-/Nebenkosten</t>
  </si>
  <si>
    <t>Essen, Wäsche, Taschen- und Kleidergeld pro UMA/Tag
(bei einer Auslastung von 85 %)</t>
  </si>
  <si>
    <t>Gesamtkosten jährlich pro Standort</t>
  </si>
  <si>
    <t>Kupferstr. 29</t>
  </si>
  <si>
    <t>Wollinstr. 4</t>
  </si>
  <si>
    <t>bei einer Auslastung von 85 %</t>
  </si>
  <si>
    <t>bei einer Auslastung von 100 %</t>
  </si>
  <si>
    <t>bei einer Auslastung von 115 %</t>
  </si>
  <si>
    <t>Berechnung Refinanzierung mit 
einem Entgeltsatz von 331,20 € pro Tag</t>
  </si>
  <si>
    <t>anteilige Sachkosten wie Sprach-förderung, Supervision, GWG,  diverse Umlagen, etc.</t>
  </si>
  <si>
    <t xml:space="preserve">*) Die Sachgebietsleitung ist für beide Standorte zuständig. Deshalb werden die Kosten bei der Kalkulation bei beiden Standorten berücksichtigt. </t>
  </si>
  <si>
    <t xml:space="preserve">1. Über Entgeltsatz finanzierte Bedarfe </t>
  </si>
  <si>
    <t>2. Weiterer Personalbedarf nicht über Entgeltsatz finanziert</t>
  </si>
  <si>
    <t>Summe Einnahmen für beide Standorte</t>
  </si>
  <si>
    <t>Sachgebietsleitung*</t>
  </si>
  <si>
    <t>A12</t>
  </si>
  <si>
    <t>A11</t>
  </si>
  <si>
    <t>S15</t>
  </si>
  <si>
    <t>EG6</t>
  </si>
  <si>
    <t>S17</t>
  </si>
  <si>
    <t>EG5</t>
  </si>
  <si>
    <t>EG3</t>
  </si>
  <si>
    <t>EG2Ü</t>
  </si>
  <si>
    <t>EG8</t>
  </si>
  <si>
    <r>
      <rPr>
        <b/>
        <u/>
        <sz val="12"/>
        <color theme="1"/>
        <rFont val="Arial"/>
        <family val="2"/>
      </rPr>
      <t xml:space="preserve"> UMA-ION 
0,83 VK/Platz</t>
    </r>
    <r>
      <rPr>
        <b/>
        <sz val="12"/>
        <color theme="1"/>
        <rFont val="Arial"/>
        <family val="2"/>
      </rPr>
      <t xml:space="preserve">
</t>
    </r>
  </si>
  <si>
    <t>jährliche 
Personalkosten</t>
  </si>
  <si>
    <t>Deckungsbeitrag für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</si>
</sst>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0.0"/>
  </numFmts>
  <fonts count="10" x14ac:knownFonts="1"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00B05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2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165" fontId="0" fillId="0" borderId="0" xfId="0" applyNumberFormat="1"/>
    <xf numFmtId="165" fontId="2" fillId="0" borderId="0" xfId="0" applyNumberFormat="1" applyFont="1"/>
    <xf numFmtId="4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4" fillId="0" borderId="7" xfId="0" applyFont="1" applyBorder="1" applyAlignment="1"/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4" fillId="2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4" fontId="6" fillId="0" borderId="12" xfId="0" applyNumberFormat="1" applyFont="1" applyFill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44" fontId="6" fillId="0" borderId="12" xfId="0" quotePrefix="1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4" fillId="2" borderId="22" xfId="0" applyNumberFormat="1" applyFont="1" applyFill="1" applyBorder="1" applyAlignment="1">
      <alignment horizontal="center" vertical="center" wrapText="1"/>
    </xf>
    <xf numFmtId="165" fontId="7" fillId="0" borderId="0" xfId="0" applyNumberFormat="1" applyFont="1"/>
    <xf numFmtId="0" fontId="3" fillId="3" borderId="14" xfId="0" applyFont="1" applyFill="1" applyBorder="1" applyAlignment="1">
      <alignment horizontal="center" vertical="center" wrapText="1"/>
    </xf>
    <xf numFmtId="44" fontId="4" fillId="3" borderId="15" xfId="0" applyNumberFormat="1" applyFont="1" applyFill="1" applyBorder="1" applyAlignment="1">
      <alignment horizontal="center" vertical="center" wrapText="1"/>
    </xf>
    <xf numFmtId="44" fontId="3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44" fontId="8" fillId="0" borderId="2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3" fillId="0" borderId="24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 vertical="center"/>
    </xf>
    <xf numFmtId="165" fontId="3" fillId="0" borderId="0" xfId="0" applyNumberFormat="1" applyFont="1" applyBorder="1"/>
    <xf numFmtId="165" fontId="6" fillId="0" borderId="24" xfId="0" applyNumberFormat="1" applyFont="1" applyBorder="1" applyAlignment="1">
      <alignment horizontal="right"/>
    </xf>
    <xf numFmtId="0" fontId="9" fillId="0" borderId="23" xfId="0" applyFont="1" applyBorder="1" applyAlignment="1">
      <alignment horizontal="center" vertical="center"/>
    </xf>
    <xf numFmtId="44" fontId="8" fillId="0" borderId="18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65" fontId="6" fillId="0" borderId="2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165" fontId="3" fillId="0" borderId="19" xfId="0" applyNumberFormat="1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4" fontId="8" fillId="0" borderId="0" xfId="0" applyNumberFormat="1" applyFont="1" applyBorder="1" applyAlignment="1">
      <alignment vertical="center"/>
    </xf>
    <xf numFmtId="4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right" vertical="center"/>
    </xf>
    <xf numFmtId="165" fontId="8" fillId="0" borderId="2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4" fillId="3" borderId="14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69273</xdr:colOff>
      <xdr:row>3</xdr:row>
      <xdr:rowOff>207818</xdr:rowOff>
    </xdr:from>
    <xdr:to>
      <xdr:col>11</xdr:col>
      <xdr:colOff>129887</xdr:colOff>
      <xdr:row>3</xdr:row>
      <xdr:rowOff>259773</xdr:rowOff>
    </xdr:to>
    <xdr:sp macro="" textlink="">
      <xdr:nvSpPr>
        <xdr:cNvPr id="2" name="Textfeld 1"/>
        <xdr:cNvSpPr txBox="1"/>
      </xdr:nvSpPr>
      <xdr:spPr>
        <a:xfrm>
          <a:off x="11057659" y="961159"/>
          <a:ext cx="60614" cy="519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view="pageLayout" topLeftCell="A4" zoomScale="85" zoomScaleNormal="120" zoomScalePageLayoutView="85" workbookViewId="0">
      <selection activeCell="I11" sqref="I11"/>
    </sheetView>
  </sheetViews>
  <sheetFormatPr baseColWidth="10" defaultRowHeight="14.25" x14ac:dyDescent="0.2"/>
  <cols>
    <col min="1" max="1" width="20.75" style="3" customWidth="1"/>
    <col min="2" max="2" width="36.75" style="3" customWidth="1"/>
    <col min="3" max="3" width="14.75" style="3" customWidth="1"/>
    <col min="4" max="4" width="13.5" style="3" customWidth="1"/>
    <col min="5" max="5" width="21.375" style="3" customWidth="1"/>
    <col min="6" max="6" width="14.625" style="3" customWidth="1"/>
    <col min="7" max="7" width="15.375" style="3" customWidth="1"/>
    <col min="8" max="8" width="20.5" style="3" customWidth="1"/>
    <col min="9" max="9" width="27" customWidth="1"/>
    <col min="10" max="10" width="28.5" customWidth="1"/>
  </cols>
  <sheetData>
    <row r="1" spans="1:15" ht="15" x14ac:dyDescent="0.2">
      <c r="A1" s="8"/>
      <c r="B1" s="8"/>
      <c r="C1" s="8"/>
      <c r="D1" s="8"/>
      <c r="E1" s="8"/>
      <c r="F1" s="8"/>
      <c r="G1" s="8"/>
      <c r="H1" s="8"/>
      <c r="I1" s="86"/>
      <c r="J1" s="86"/>
      <c r="K1" s="86"/>
    </row>
    <row r="2" spans="1:15" ht="16.5" thickBot="1" x14ac:dyDescent="0.3">
      <c r="A2" s="9" t="s">
        <v>45</v>
      </c>
      <c r="B2" s="8"/>
      <c r="C2" s="8"/>
      <c r="D2" s="8"/>
      <c r="E2" s="8"/>
      <c r="F2" s="8"/>
      <c r="G2" s="8"/>
      <c r="H2" s="8"/>
      <c r="I2" s="10"/>
      <c r="J2" s="10"/>
      <c r="K2" s="10"/>
    </row>
    <row r="3" spans="1:15" ht="30" customHeight="1" x14ac:dyDescent="0.25">
      <c r="A3" s="11"/>
      <c r="B3" s="11"/>
      <c r="C3" s="80" t="s">
        <v>31</v>
      </c>
      <c r="D3" s="103"/>
      <c r="E3" s="104"/>
      <c r="F3" s="80" t="s">
        <v>30</v>
      </c>
      <c r="G3" s="103"/>
      <c r="H3" s="104"/>
      <c r="I3" s="12"/>
      <c r="J3" s="12"/>
      <c r="K3" s="10"/>
    </row>
    <row r="4" spans="1:15" ht="47.25" x14ac:dyDescent="0.2">
      <c r="A4" s="13" t="s">
        <v>0</v>
      </c>
      <c r="B4" s="14" t="s">
        <v>1</v>
      </c>
      <c r="C4" s="15" t="s">
        <v>32</v>
      </c>
      <c r="D4" s="13" t="s">
        <v>33</v>
      </c>
      <c r="E4" s="16" t="s">
        <v>59</v>
      </c>
      <c r="F4" s="15" t="s">
        <v>2</v>
      </c>
      <c r="G4" s="13" t="s">
        <v>3</v>
      </c>
      <c r="H4" s="16" t="s">
        <v>59</v>
      </c>
      <c r="I4" s="17"/>
      <c r="J4" s="17"/>
      <c r="K4" s="17"/>
      <c r="L4" s="7"/>
      <c r="M4" s="7"/>
    </row>
    <row r="5" spans="1:15" ht="14.25" customHeight="1" x14ac:dyDescent="0.2">
      <c r="A5" s="88" t="s">
        <v>58</v>
      </c>
      <c r="B5" s="27" t="s">
        <v>48</v>
      </c>
      <c r="C5" s="22">
        <v>0.5</v>
      </c>
      <c r="D5" s="28" t="s">
        <v>53</v>
      </c>
      <c r="E5" s="29">
        <f>0.5*79400</f>
        <v>39700</v>
      </c>
      <c r="F5" s="22">
        <v>0.5</v>
      </c>
      <c r="G5" s="18" t="s">
        <v>53</v>
      </c>
      <c r="H5" s="19">
        <f>0.5*79400</f>
        <v>39700</v>
      </c>
      <c r="I5" s="17"/>
      <c r="J5" s="17"/>
      <c r="K5" s="17"/>
      <c r="L5" s="7"/>
      <c r="M5" s="7"/>
      <c r="N5" s="1"/>
    </row>
    <row r="6" spans="1:15" ht="15" x14ac:dyDescent="0.2">
      <c r="A6" s="89"/>
      <c r="B6" s="27" t="s">
        <v>15</v>
      </c>
      <c r="C6" s="21">
        <v>12.45</v>
      </c>
      <c r="D6" s="28" t="s">
        <v>51</v>
      </c>
      <c r="E6" s="29">
        <f>SUM(C6*72300)</f>
        <v>900135</v>
      </c>
      <c r="F6" s="22">
        <v>16.600000000000001</v>
      </c>
      <c r="G6" s="18" t="s">
        <v>51</v>
      </c>
      <c r="H6" s="19">
        <f>SUM(F6*72300)</f>
        <v>1200180</v>
      </c>
      <c r="I6" s="17"/>
      <c r="J6" s="17"/>
      <c r="K6" s="17"/>
      <c r="L6" s="7"/>
      <c r="M6" s="7"/>
    </row>
    <row r="7" spans="1:15" ht="15" x14ac:dyDescent="0.2">
      <c r="A7" s="89"/>
      <c r="B7" s="23" t="s">
        <v>4</v>
      </c>
      <c r="C7" s="24">
        <v>0.65</v>
      </c>
      <c r="D7" s="25" t="s">
        <v>54</v>
      </c>
      <c r="E7" s="26">
        <f>SUM(C7*49200)</f>
        <v>31980</v>
      </c>
      <c r="F7" s="24">
        <v>0.65</v>
      </c>
      <c r="G7" s="25" t="s">
        <v>54</v>
      </c>
      <c r="H7" s="26">
        <f>SUM(F7*49200)</f>
        <v>31980</v>
      </c>
      <c r="I7" s="17"/>
      <c r="J7" s="17"/>
      <c r="K7" s="17"/>
      <c r="L7" s="7"/>
      <c r="M7" s="7"/>
      <c r="N7" s="1"/>
      <c r="O7" s="1"/>
    </row>
    <row r="8" spans="1:15" ht="15" x14ac:dyDescent="0.2">
      <c r="A8" s="89"/>
      <c r="B8" s="20" t="s">
        <v>16</v>
      </c>
      <c r="C8" s="22">
        <v>1</v>
      </c>
      <c r="D8" s="18" t="s">
        <v>55</v>
      </c>
      <c r="E8" s="19">
        <f>C8*47900</f>
        <v>47900</v>
      </c>
      <c r="F8" s="22">
        <v>1</v>
      </c>
      <c r="G8" s="18" t="s">
        <v>55</v>
      </c>
      <c r="H8" s="19">
        <f>F8*47900</f>
        <v>47900</v>
      </c>
      <c r="I8" s="17"/>
      <c r="J8" s="17"/>
      <c r="K8" s="17"/>
      <c r="L8" s="7"/>
      <c r="M8" s="7"/>
    </row>
    <row r="9" spans="1:15" ht="15" x14ac:dyDescent="0.2">
      <c r="A9" s="90"/>
      <c r="B9" s="27" t="s">
        <v>16</v>
      </c>
      <c r="C9" s="22">
        <v>2</v>
      </c>
      <c r="D9" s="28" t="s">
        <v>56</v>
      </c>
      <c r="E9" s="29">
        <f>SUM(C9*42300)</f>
        <v>84600</v>
      </c>
      <c r="F9" s="22">
        <v>2</v>
      </c>
      <c r="G9" s="28" t="s">
        <v>56</v>
      </c>
      <c r="H9" s="29">
        <f>SUM(F9*42300)</f>
        <v>84600</v>
      </c>
      <c r="I9" s="17"/>
      <c r="J9" s="17"/>
      <c r="K9" s="17"/>
      <c r="L9" s="7"/>
      <c r="M9" s="7"/>
    </row>
    <row r="10" spans="1:15" ht="30" x14ac:dyDescent="0.2">
      <c r="A10" s="30" t="s">
        <v>5</v>
      </c>
      <c r="B10" s="20" t="s">
        <v>13</v>
      </c>
      <c r="C10" s="31">
        <v>0.5</v>
      </c>
      <c r="D10" s="18" t="s">
        <v>57</v>
      </c>
      <c r="E10" s="19">
        <f>SUM(C10*55400)</f>
        <v>27700</v>
      </c>
      <c r="F10" s="31">
        <v>0.5</v>
      </c>
      <c r="G10" s="18" t="s">
        <v>57</v>
      </c>
      <c r="H10" s="19">
        <f>SUM(F10*55400)</f>
        <v>27700</v>
      </c>
      <c r="I10" s="17"/>
      <c r="J10" s="17"/>
      <c r="K10" s="17"/>
      <c r="L10" s="7"/>
      <c r="M10" s="7"/>
    </row>
    <row r="11" spans="1:15" ht="31.5" x14ac:dyDescent="0.2">
      <c r="A11" s="13" t="s">
        <v>6</v>
      </c>
      <c r="B11" s="32"/>
      <c r="C11" s="33">
        <f>SUM(C5:C10)</f>
        <v>17.100000000000001</v>
      </c>
      <c r="D11" s="34"/>
      <c r="E11" s="35">
        <f>SUM(E5:E10)</f>
        <v>1132015</v>
      </c>
      <c r="F11" s="33">
        <f>SUM(F5:F10)</f>
        <v>21.25</v>
      </c>
      <c r="G11" s="34"/>
      <c r="H11" s="35">
        <f>SUM(H5:H10)</f>
        <v>1432060</v>
      </c>
      <c r="I11" s="17"/>
      <c r="J11" s="17"/>
      <c r="K11" s="17"/>
      <c r="L11" s="7"/>
      <c r="M11" s="7"/>
    </row>
    <row r="12" spans="1:15" ht="30" x14ac:dyDescent="0.2">
      <c r="A12" s="18" t="s">
        <v>7</v>
      </c>
      <c r="B12" s="27" t="s">
        <v>14</v>
      </c>
      <c r="C12" s="36" t="s">
        <v>8</v>
      </c>
      <c r="D12" s="18" t="s">
        <v>25</v>
      </c>
      <c r="E12" s="19">
        <v>204000</v>
      </c>
      <c r="F12" s="36" t="s">
        <v>8</v>
      </c>
      <c r="G12" s="18" t="s">
        <v>25</v>
      </c>
      <c r="H12" s="19">
        <v>204000</v>
      </c>
      <c r="I12" s="17"/>
      <c r="J12" s="17"/>
      <c r="K12" s="17"/>
      <c r="L12" s="7"/>
      <c r="M12" s="7"/>
    </row>
    <row r="13" spans="1:15" ht="45" x14ac:dyDescent="0.2">
      <c r="A13" s="18" t="s">
        <v>7</v>
      </c>
      <c r="B13" s="20" t="s">
        <v>35</v>
      </c>
      <c r="C13" s="36" t="s">
        <v>29</v>
      </c>
      <c r="D13" s="18" t="s">
        <v>26</v>
      </c>
      <c r="E13" s="19">
        <f>SUM(15*12*365*0.85)</f>
        <v>55845</v>
      </c>
      <c r="F13" s="36" t="s">
        <v>18</v>
      </c>
      <c r="G13" s="18" t="s">
        <v>26</v>
      </c>
      <c r="H13" s="19">
        <f>SUM(20*12*365*0.85)</f>
        <v>74460</v>
      </c>
      <c r="I13" s="17"/>
      <c r="J13" s="17"/>
      <c r="K13" s="17"/>
      <c r="L13" s="7"/>
      <c r="M13" s="7"/>
    </row>
    <row r="14" spans="1:15" ht="45" x14ac:dyDescent="0.2">
      <c r="A14" s="18" t="s">
        <v>7</v>
      </c>
      <c r="B14" s="20" t="s">
        <v>43</v>
      </c>
      <c r="C14" s="36"/>
      <c r="D14" s="18"/>
      <c r="E14" s="37">
        <f>8150+11000+17050+9590+11250</f>
        <v>57040</v>
      </c>
      <c r="F14" s="36"/>
      <c r="G14" s="18"/>
      <c r="H14" s="37">
        <f>10850+22700+20650+14600+15000</f>
        <v>83800</v>
      </c>
      <c r="I14" s="10"/>
      <c r="J14" s="10"/>
      <c r="K14" s="10"/>
    </row>
    <row r="15" spans="1:15" ht="15" x14ac:dyDescent="0.2">
      <c r="A15" s="18" t="s">
        <v>24</v>
      </c>
      <c r="B15" s="27" t="s">
        <v>19</v>
      </c>
      <c r="C15" s="36" t="s">
        <v>9</v>
      </c>
      <c r="D15" s="38">
        <f>E15/12</f>
        <v>5166.666666666667</v>
      </c>
      <c r="E15" s="29">
        <f>47060+14940</f>
        <v>62000</v>
      </c>
      <c r="F15" s="36" t="s">
        <v>9</v>
      </c>
      <c r="G15" s="38">
        <f>H15/12</f>
        <v>21725</v>
      </c>
      <c r="H15" s="39">
        <f>226500+34200</f>
        <v>260700</v>
      </c>
      <c r="I15" s="10"/>
      <c r="J15" s="10"/>
      <c r="K15" s="10"/>
    </row>
    <row r="16" spans="1:15" ht="31.5" x14ac:dyDescent="0.2">
      <c r="A16" s="13" t="s">
        <v>34</v>
      </c>
      <c r="B16" s="32"/>
      <c r="C16" s="40"/>
      <c r="D16" s="34"/>
      <c r="E16" s="35">
        <f>SUM(E12:E15)</f>
        <v>378885</v>
      </c>
      <c r="F16" s="40"/>
      <c r="G16" s="34"/>
      <c r="H16" s="35">
        <f>SUM(H12:H15)</f>
        <v>622960</v>
      </c>
      <c r="I16" s="10"/>
      <c r="J16" s="10"/>
      <c r="K16" s="10"/>
    </row>
    <row r="17" spans="1:14" ht="16.5" thickBot="1" x14ac:dyDescent="0.25">
      <c r="A17" s="95" t="s">
        <v>36</v>
      </c>
      <c r="B17" s="96"/>
      <c r="C17" s="41"/>
      <c r="D17" s="42"/>
      <c r="E17" s="43">
        <f>SUM(E16,E11)</f>
        <v>1510900</v>
      </c>
      <c r="F17" s="41"/>
      <c r="G17" s="42"/>
      <c r="H17" s="43">
        <f>SUM(H16,H11)</f>
        <v>2055020</v>
      </c>
      <c r="I17" s="10"/>
      <c r="J17" s="44"/>
      <c r="K17" s="10"/>
      <c r="M17" s="6"/>
      <c r="N17" s="5"/>
    </row>
    <row r="18" spans="1:14" ht="16.5" thickBot="1" x14ac:dyDescent="0.3">
      <c r="A18" s="97" t="s">
        <v>12</v>
      </c>
      <c r="B18" s="98"/>
      <c r="C18" s="45"/>
      <c r="D18" s="45"/>
      <c r="E18" s="91">
        <f>E17+H17</f>
        <v>3565920</v>
      </c>
      <c r="F18" s="91"/>
      <c r="G18" s="45"/>
      <c r="H18" s="46"/>
      <c r="I18" s="47"/>
      <c r="J18" s="44"/>
      <c r="K18" s="10"/>
      <c r="M18" s="6"/>
      <c r="N18" s="5"/>
    </row>
    <row r="19" spans="1:14" ht="15" x14ac:dyDescent="0.2">
      <c r="A19" s="83" t="s">
        <v>44</v>
      </c>
      <c r="B19" s="83"/>
      <c r="C19" s="83"/>
      <c r="D19" s="83"/>
      <c r="E19" s="83"/>
      <c r="F19" s="83"/>
      <c r="G19" s="83"/>
      <c r="H19" s="83"/>
      <c r="I19" s="10"/>
      <c r="J19" s="10"/>
      <c r="K19" s="10"/>
    </row>
    <row r="20" spans="1:14" ht="16.5" customHeight="1" thickBot="1" x14ac:dyDescent="0.25">
      <c r="A20" s="48"/>
      <c r="B20" s="48"/>
      <c r="C20" s="48"/>
      <c r="D20" s="48"/>
      <c r="E20" s="48"/>
      <c r="F20" s="48"/>
      <c r="G20" s="48"/>
      <c r="H20" s="49"/>
      <c r="I20" s="10"/>
      <c r="J20" s="10"/>
      <c r="K20" s="10"/>
    </row>
    <row r="21" spans="1:14" ht="42.75" customHeight="1" x14ac:dyDescent="0.2">
      <c r="A21" s="84" t="s">
        <v>42</v>
      </c>
      <c r="B21" s="85"/>
      <c r="C21" s="80" t="s">
        <v>37</v>
      </c>
      <c r="D21" s="81"/>
      <c r="E21" s="82"/>
      <c r="F21" s="80" t="s">
        <v>38</v>
      </c>
      <c r="G21" s="81"/>
      <c r="H21" s="82"/>
      <c r="I21" s="75" t="s">
        <v>47</v>
      </c>
      <c r="J21" s="76" t="s">
        <v>60</v>
      </c>
      <c r="K21" s="10"/>
    </row>
    <row r="22" spans="1:14" ht="15.75" x14ac:dyDescent="0.2">
      <c r="A22" s="92" t="s">
        <v>39</v>
      </c>
      <c r="B22" s="83"/>
      <c r="C22" s="50"/>
      <c r="D22" s="51"/>
      <c r="E22" s="52">
        <f>15*331.2*365*0.85</f>
        <v>1541322</v>
      </c>
      <c r="F22" s="53"/>
      <c r="G22" s="51"/>
      <c r="H22" s="52">
        <f>20*331.2*365*0.85</f>
        <v>2055096</v>
      </c>
      <c r="I22" s="54">
        <f>E22+H22</f>
        <v>3596418</v>
      </c>
      <c r="J22" s="77">
        <f>E22+H22-E18</f>
        <v>30498</v>
      </c>
      <c r="K22" s="10"/>
    </row>
    <row r="23" spans="1:14" ht="15.75" x14ac:dyDescent="0.2">
      <c r="A23" s="92" t="s">
        <v>40</v>
      </c>
      <c r="B23" s="83"/>
      <c r="C23" s="50"/>
      <c r="D23" s="51"/>
      <c r="E23" s="55">
        <f>15*331.2*365*1</f>
        <v>1813320</v>
      </c>
      <c r="F23" s="56"/>
      <c r="G23" s="51"/>
      <c r="H23" s="55">
        <f>20*331.2*365*1</f>
        <v>2417760</v>
      </c>
      <c r="I23" s="54">
        <f>E23+H23</f>
        <v>4231080</v>
      </c>
      <c r="J23" s="77">
        <f>E23+H23-E18</f>
        <v>665160</v>
      </c>
      <c r="K23" s="10"/>
    </row>
    <row r="24" spans="1:14" ht="16.5" thickBot="1" x14ac:dyDescent="0.25">
      <c r="A24" s="93" t="s">
        <v>41</v>
      </c>
      <c r="B24" s="94"/>
      <c r="C24" s="57"/>
      <c r="D24" s="58"/>
      <c r="E24" s="59">
        <f>15*331.2*365*1.15</f>
        <v>2085317.9999999998</v>
      </c>
      <c r="F24" s="60"/>
      <c r="G24" s="58"/>
      <c r="H24" s="59">
        <f>20*331.2*365*1.15</f>
        <v>2780424</v>
      </c>
      <c r="I24" s="61">
        <f>E24+H24</f>
        <v>4865742</v>
      </c>
      <c r="J24" s="78">
        <f>E24+H24-E18</f>
        <v>1299822</v>
      </c>
      <c r="K24" s="10"/>
    </row>
    <row r="25" spans="1:14" ht="16.5" customHeight="1" x14ac:dyDescent="0.2">
      <c r="A25" s="62"/>
      <c r="B25" s="63"/>
      <c r="C25" s="64"/>
      <c r="D25" s="51"/>
      <c r="E25" s="65"/>
      <c r="F25" s="66"/>
      <c r="G25" s="51"/>
      <c r="H25" s="51"/>
      <c r="I25" s="10"/>
      <c r="J25" s="10"/>
      <c r="K25" s="10"/>
    </row>
    <row r="26" spans="1:14" ht="18.75" customHeight="1" x14ac:dyDescent="0.25">
      <c r="A26" s="101" t="s">
        <v>46</v>
      </c>
      <c r="B26" s="101"/>
      <c r="C26" s="102"/>
      <c r="D26" s="67"/>
      <c r="E26" s="67"/>
      <c r="F26" s="8"/>
      <c r="G26" s="8"/>
      <c r="H26" s="8"/>
      <c r="I26" s="10"/>
      <c r="J26" s="10"/>
      <c r="K26" s="10"/>
    </row>
    <row r="27" spans="1:14" ht="47.25" x14ac:dyDescent="0.2">
      <c r="A27" s="13" t="s">
        <v>0</v>
      </c>
      <c r="B27" s="14" t="s">
        <v>1</v>
      </c>
      <c r="C27" s="13" t="s">
        <v>2</v>
      </c>
      <c r="D27" s="13" t="s">
        <v>3</v>
      </c>
      <c r="E27" s="13" t="s">
        <v>59</v>
      </c>
      <c r="F27" s="8"/>
      <c r="G27" s="8"/>
      <c r="H27" s="8"/>
      <c r="I27" s="10"/>
      <c r="J27" s="10"/>
      <c r="K27" s="10"/>
    </row>
    <row r="28" spans="1:14" ht="15" x14ac:dyDescent="0.2">
      <c r="A28" s="88" t="s">
        <v>17</v>
      </c>
      <c r="B28" s="20" t="s">
        <v>20</v>
      </c>
      <c r="C28" s="28">
        <v>1</v>
      </c>
      <c r="D28" s="28" t="s">
        <v>49</v>
      </c>
      <c r="E28" s="68">
        <f>C28*111200</f>
        <v>111200</v>
      </c>
      <c r="F28" s="8"/>
      <c r="G28" s="8"/>
      <c r="H28" s="8"/>
      <c r="I28" s="10"/>
      <c r="J28" s="10"/>
      <c r="K28" s="10"/>
    </row>
    <row r="29" spans="1:14" ht="15" x14ac:dyDescent="0.2">
      <c r="A29" s="89"/>
      <c r="B29" s="20" t="s">
        <v>10</v>
      </c>
      <c r="C29" s="28">
        <v>3.3</v>
      </c>
      <c r="D29" s="28" t="s">
        <v>50</v>
      </c>
      <c r="E29" s="68">
        <f>C29*100700</f>
        <v>332310</v>
      </c>
      <c r="F29" s="8"/>
      <c r="G29" s="8"/>
      <c r="H29" s="8"/>
      <c r="I29" s="10"/>
      <c r="J29" s="10"/>
      <c r="K29" s="10"/>
    </row>
    <row r="30" spans="1:14" ht="35.25" customHeight="1" x14ac:dyDescent="0.2">
      <c r="A30" s="89"/>
      <c r="B30" s="20" t="s">
        <v>21</v>
      </c>
      <c r="C30" s="28">
        <v>0.3</v>
      </c>
      <c r="D30" s="28" t="s">
        <v>51</v>
      </c>
      <c r="E30" s="68">
        <f>C30*72300</f>
        <v>21690</v>
      </c>
      <c r="F30" s="8"/>
      <c r="G30" s="8"/>
      <c r="H30" s="8"/>
      <c r="I30" s="10"/>
      <c r="J30" s="10"/>
      <c r="K30" s="10"/>
    </row>
    <row r="31" spans="1:14" ht="15" x14ac:dyDescent="0.2">
      <c r="A31" s="89"/>
      <c r="B31" s="20" t="s">
        <v>22</v>
      </c>
      <c r="C31" s="28">
        <v>1</v>
      </c>
      <c r="D31" s="28" t="s">
        <v>50</v>
      </c>
      <c r="E31" s="68">
        <f>C31*100700</f>
        <v>100700</v>
      </c>
      <c r="F31" s="8"/>
      <c r="G31" s="8"/>
      <c r="H31" s="8"/>
      <c r="I31" s="10"/>
      <c r="J31" s="10"/>
      <c r="K31" s="10"/>
    </row>
    <row r="32" spans="1:14" ht="51" customHeight="1" x14ac:dyDescent="0.2">
      <c r="A32" s="89"/>
      <c r="B32" s="27" t="s">
        <v>27</v>
      </c>
      <c r="C32" s="28">
        <v>1</v>
      </c>
      <c r="D32" s="28" t="s">
        <v>50</v>
      </c>
      <c r="E32" s="79">
        <f>C32*100700</f>
        <v>100700</v>
      </c>
      <c r="F32" s="8"/>
      <c r="G32" s="8"/>
      <c r="H32" s="8"/>
      <c r="I32" s="10"/>
      <c r="J32" s="10"/>
      <c r="K32" s="10"/>
    </row>
    <row r="33" spans="1:11" ht="15" x14ac:dyDescent="0.2">
      <c r="A33" s="90"/>
      <c r="B33" s="20" t="s">
        <v>4</v>
      </c>
      <c r="C33" s="28">
        <v>1</v>
      </c>
      <c r="D33" s="28" t="s">
        <v>52</v>
      </c>
      <c r="E33" s="68">
        <f>C33*51600</f>
        <v>51600</v>
      </c>
      <c r="F33" s="8"/>
      <c r="G33" s="8"/>
      <c r="H33" s="8"/>
      <c r="I33" s="10"/>
      <c r="J33" s="10"/>
      <c r="K33" s="10"/>
    </row>
    <row r="34" spans="1:11" ht="33" customHeight="1" x14ac:dyDescent="0.2">
      <c r="A34" s="69" t="s">
        <v>11</v>
      </c>
      <c r="B34" s="70" t="s">
        <v>28</v>
      </c>
      <c r="C34" s="71">
        <v>2</v>
      </c>
      <c r="D34" s="71" t="s">
        <v>50</v>
      </c>
      <c r="E34" s="72">
        <f>C34*100700</f>
        <v>201400</v>
      </c>
      <c r="F34" s="8"/>
      <c r="G34" s="8"/>
      <c r="H34" s="8"/>
      <c r="I34" s="10"/>
      <c r="J34" s="10"/>
      <c r="K34" s="10"/>
    </row>
    <row r="35" spans="1:11" ht="15.75" x14ac:dyDescent="0.2">
      <c r="A35" s="99" t="s">
        <v>12</v>
      </c>
      <c r="B35" s="100"/>
      <c r="C35" s="73"/>
      <c r="D35" s="73"/>
      <c r="E35" s="74">
        <f>SUM(E27:E34)</f>
        <v>919600</v>
      </c>
      <c r="F35" s="8"/>
      <c r="G35" s="8"/>
      <c r="H35" s="8"/>
      <c r="I35" s="10"/>
      <c r="J35" s="10"/>
      <c r="K35" s="10"/>
    </row>
    <row r="36" spans="1:11" ht="14.25" customHeight="1" x14ac:dyDescent="0.2">
      <c r="A36" s="105" t="s">
        <v>23</v>
      </c>
      <c r="B36" s="105"/>
      <c r="C36" s="105"/>
      <c r="D36" s="105"/>
      <c r="E36" s="105"/>
      <c r="F36" s="105"/>
      <c r="G36" s="105"/>
      <c r="H36" s="105"/>
    </row>
    <row r="37" spans="1:11" x14ac:dyDescent="0.2">
      <c r="A37" s="87"/>
      <c r="B37" s="87"/>
      <c r="C37" s="87"/>
      <c r="D37" s="87"/>
      <c r="E37" s="87"/>
      <c r="F37" s="87"/>
      <c r="G37" s="87"/>
      <c r="H37" s="87"/>
    </row>
    <row r="46" spans="1:11" x14ac:dyDescent="0.2">
      <c r="A46" s="2"/>
      <c r="B46" s="2"/>
      <c r="C46" s="2"/>
      <c r="D46" s="2"/>
      <c r="E46" s="2"/>
      <c r="F46" s="2"/>
      <c r="G46" s="2"/>
      <c r="H46" s="4"/>
    </row>
    <row r="47" spans="1:11" x14ac:dyDescent="0.2">
      <c r="A47" s="2"/>
      <c r="B47" s="2"/>
      <c r="C47" s="2"/>
      <c r="D47" s="2"/>
      <c r="E47" s="2"/>
      <c r="F47" s="2"/>
      <c r="G47" s="2"/>
      <c r="H47" s="4"/>
    </row>
    <row r="48" spans="1:11" x14ac:dyDescent="0.2">
      <c r="A48" s="2"/>
      <c r="B48" s="2"/>
      <c r="C48" s="2"/>
      <c r="D48" s="2"/>
      <c r="E48" s="2"/>
      <c r="F48" s="2"/>
      <c r="G48" s="2"/>
      <c r="H48" s="4"/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2"/>
      <c r="B50" s="2"/>
      <c r="C50" s="2"/>
      <c r="D50" s="2"/>
      <c r="E50" s="2"/>
      <c r="F50" s="2"/>
      <c r="G50" s="2"/>
      <c r="H50" s="2"/>
    </row>
    <row r="51" spans="1:8" x14ac:dyDescent="0.2">
      <c r="A51" s="2"/>
      <c r="B51" s="2"/>
      <c r="C51" s="2"/>
      <c r="D51" s="2"/>
      <c r="E51" s="2"/>
      <c r="F51" s="2"/>
      <c r="G51" s="2"/>
      <c r="H51" s="2"/>
    </row>
    <row r="52" spans="1:8" x14ac:dyDescent="0.2">
      <c r="A52" s="2"/>
      <c r="B52" s="2"/>
      <c r="C52" s="2"/>
      <c r="D52" s="2"/>
      <c r="E52" s="2"/>
      <c r="F52" s="2"/>
      <c r="G52" s="2"/>
      <c r="H52" s="2"/>
    </row>
    <row r="53" spans="1:8" x14ac:dyDescent="0.2">
      <c r="A53" s="2"/>
      <c r="B53" s="2"/>
      <c r="C53" s="2"/>
      <c r="D53" s="2"/>
      <c r="E53" s="2"/>
      <c r="F53" s="2"/>
      <c r="G53" s="2"/>
      <c r="H53" s="2"/>
    </row>
    <row r="54" spans="1:8" x14ac:dyDescent="0.2">
      <c r="A54" s="2"/>
      <c r="B54" s="2"/>
      <c r="C54" s="2"/>
      <c r="D54" s="2"/>
      <c r="E54" s="2"/>
      <c r="F54" s="2"/>
      <c r="G54" s="2"/>
      <c r="H54" s="2"/>
    </row>
  </sheetData>
  <mergeCells count="19">
    <mergeCell ref="C3:E3"/>
    <mergeCell ref="A36:H36"/>
    <mergeCell ref="C21:E21"/>
    <mergeCell ref="F21:H21"/>
    <mergeCell ref="A19:H19"/>
    <mergeCell ref="A21:B21"/>
    <mergeCell ref="I1:K1"/>
    <mergeCell ref="A37:H37"/>
    <mergeCell ref="A5:A9"/>
    <mergeCell ref="A28:A33"/>
    <mergeCell ref="E18:F18"/>
    <mergeCell ref="A22:B22"/>
    <mergeCell ref="A23:B23"/>
    <mergeCell ref="A24:B24"/>
    <mergeCell ref="A17:B17"/>
    <mergeCell ref="A18:B18"/>
    <mergeCell ref="A35:B35"/>
    <mergeCell ref="A26:C26"/>
    <mergeCell ref="F3:H3"/>
  </mergeCells>
  <pageMargins left="0.7" right="0.7" top="0.78740157499999996" bottom="0.78740157499999996" header="0.3" footer="0.3"/>
  <pageSetup paperSize="9" scale="51" orientation="landscape" r:id="rId1"/>
  <headerFooter>
    <oddHeader xml:space="preserve">&amp;RAnlage 3 zu GRDrs 192/2022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UMA-ION</vt:lpstr>
      <vt:lpstr>'UMA-ION'!Druckbereich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u510114</dc:creator>
  <cp:lastModifiedBy>Anja Zügel</cp:lastModifiedBy>
  <cp:lastPrinted>2022-04-01T09:21:03Z</cp:lastPrinted>
  <dcterms:created xsi:type="dcterms:W3CDTF">2017-08-11T05:14:21Z</dcterms:created>
  <dcterms:modified xsi:type="dcterms:W3CDTF">2022-04-01T09:29:21Z</dcterms:modified>
</cp:coreProperties>
</file>