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511001\Desktop\"/>
    </mc:Choice>
  </mc:AlternateContent>
  <bookViews>
    <workbookView xWindow="-25320" yWindow="2160" windowWidth="25440" windowHeight="9705" tabRatio="900" firstSheet="1" activeTab="3"/>
  </bookViews>
  <sheets>
    <sheet name="FLS losgelöst v. Basismodul" sheetId="8" state="hidden" r:id="rId1"/>
    <sheet name="Anlage 2 - KS+ neu" sheetId="14" r:id="rId2"/>
    <sheet name="Anlage 3 - KS+ Bestand" sheetId="15" r:id="rId3"/>
    <sheet name="Anlage 4 - Einnahmen EGH " sheetId="19" r:id="rId4"/>
    <sheet name="Tabelle1" sheetId="20" state="hidden" r:id="rId5"/>
  </sheets>
  <definedNames>
    <definedName name="_xlnm.Print_Area" localSheetId="1">'Anlage 2 - KS+ neu'!$A$1:$R$23</definedName>
    <definedName name="_xlnm.Print_Area" localSheetId="2">'Anlage 3 - KS+ Bestand'!$A$1:$N$23</definedName>
    <definedName name="_xlnm.Print_Area" localSheetId="0">'FLS losgelöst v. Basismodul'!$D$1:$K$49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6" i="20" l="1"/>
  <c r="B16" i="20"/>
  <c r="C14" i="20"/>
  <c r="B14" i="20"/>
  <c r="C12" i="20"/>
  <c r="C10" i="20"/>
  <c r="B12" i="20"/>
  <c r="B10" i="20"/>
  <c r="C7" i="20"/>
  <c r="B7" i="20"/>
  <c r="F15" i="15"/>
  <c r="G15" i="15" s="1"/>
  <c r="J15" i="15" s="1"/>
  <c r="K15" i="15"/>
  <c r="N15" i="15" s="1"/>
  <c r="N9" i="15"/>
  <c r="M10" i="15"/>
  <c r="L10" i="15"/>
  <c r="K9" i="15"/>
  <c r="J9" i="15"/>
  <c r="G9" i="15"/>
  <c r="G6" i="15"/>
  <c r="G7" i="14"/>
  <c r="D56" i="19" l="1"/>
  <c r="D50" i="19"/>
  <c r="D33" i="19"/>
  <c r="F33" i="19"/>
  <c r="H33" i="19"/>
  <c r="D54" i="19" l="1"/>
  <c r="D48" i="19"/>
  <c r="G14" i="15" l="1"/>
  <c r="G13" i="15"/>
  <c r="G12" i="15"/>
  <c r="G16" i="15" s="1"/>
  <c r="F13" i="15"/>
  <c r="F14" i="15"/>
  <c r="F12" i="15"/>
  <c r="J6" i="15"/>
  <c r="F16" i="15"/>
  <c r="O15" i="14"/>
  <c r="R15" i="14" s="1"/>
  <c r="O13" i="14"/>
  <c r="R13" i="14" s="1"/>
  <c r="O9" i="14"/>
  <c r="R9" i="14" s="1"/>
  <c r="O8" i="14"/>
  <c r="R8" i="14" s="1"/>
  <c r="O7" i="14"/>
  <c r="R7" i="14" s="1"/>
  <c r="J7" i="14"/>
  <c r="G15" i="14"/>
  <c r="J15" i="14" s="1"/>
  <c r="G14" i="14"/>
  <c r="J14" i="14" s="1"/>
  <c r="G13" i="14"/>
  <c r="J13" i="14" s="1"/>
  <c r="G9" i="14"/>
  <c r="J9" i="14" s="1"/>
  <c r="G8" i="14"/>
  <c r="J8" i="14" s="1"/>
  <c r="F16" i="14"/>
  <c r="F10" i="14"/>
  <c r="F14" i="14"/>
  <c r="F15" i="14"/>
  <c r="F13" i="14"/>
  <c r="F8" i="14"/>
  <c r="F9" i="14"/>
  <c r="F7" i="14"/>
  <c r="J12" i="15" l="1"/>
  <c r="J16" i="14"/>
  <c r="R10" i="14"/>
  <c r="J10" i="14"/>
  <c r="J18" i="14" s="1"/>
  <c r="O10" i="14"/>
  <c r="G16" i="14"/>
  <c r="F47" i="19"/>
  <c r="F46" i="19"/>
  <c r="F53" i="19"/>
  <c r="F52" i="19"/>
  <c r="F51" i="19"/>
  <c r="F45" i="19"/>
  <c r="H35" i="19"/>
  <c r="F35" i="19"/>
  <c r="D35" i="19"/>
  <c r="H34" i="19"/>
  <c r="F34" i="19"/>
  <c r="D34" i="19"/>
  <c r="D38" i="19" s="1"/>
  <c r="D65" i="19" s="1"/>
  <c r="H29" i="19"/>
  <c r="F29" i="19"/>
  <c r="D29" i="19"/>
  <c r="H28" i="19"/>
  <c r="F28" i="19"/>
  <c r="D28" i="19"/>
  <c r="H27" i="19"/>
  <c r="F27" i="19"/>
  <c r="D27" i="19"/>
  <c r="D21" i="19"/>
  <c r="A21" i="19"/>
  <c r="D20" i="19"/>
  <c r="A20" i="19"/>
  <c r="D19" i="19"/>
  <c r="A19" i="19"/>
  <c r="B12" i="19"/>
  <c r="B14" i="19" s="1"/>
  <c r="N14" i="14"/>
  <c r="O14" i="14"/>
  <c r="R14" i="14" s="1"/>
  <c r="R16" i="14" s="1"/>
  <c r="N13" i="14"/>
  <c r="N8" i="14"/>
  <c r="N9" i="14"/>
  <c r="N7" i="14"/>
  <c r="M18" i="14"/>
  <c r="L18" i="14"/>
  <c r="L10" i="14"/>
  <c r="L16" i="14"/>
  <c r="L14" i="14"/>
  <c r="L15" i="14"/>
  <c r="L13" i="14"/>
  <c r="L8" i="14"/>
  <c r="L9" i="14"/>
  <c r="L7" i="14"/>
  <c r="K8" i="14"/>
  <c r="I8" i="14"/>
  <c r="H8" i="14"/>
  <c r="F38" i="19" l="1"/>
  <c r="R18" i="14"/>
  <c r="O16" i="14"/>
  <c r="F56" i="19"/>
  <c r="F65" i="19"/>
  <c r="F50" i="19"/>
  <c r="H38" i="19"/>
  <c r="H65" i="19" s="1"/>
  <c r="D32" i="19"/>
  <c r="D64" i="19" s="1"/>
  <c r="D66" i="19" s="1"/>
  <c r="F32" i="19"/>
  <c r="F64" i="19" s="1"/>
  <c r="H32" i="19"/>
  <c r="H64" i="19" s="1"/>
  <c r="F36" i="19"/>
  <c r="F48" i="19"/>
  <c r="F54" i="19"/>
  <c r="H36" i="19"/>
  <c r="H30" i="19"/>
  <c r="D30" i="19"/>
  <c r="F30" i="19"/>
  <c r="D36" i="19"/>
  <c r="B21" i="19"/>
  <c r="C21" i="19" s="1"/>
  <c r="E21" i="19" s="1"/>
  <c r="E27" i="19" s="1"/>
  <c r="B20" i="19"/>
  <c r="C20" i="19" s="1"/>
  <c r="E20" i="19" s="1"/>
  <c r="I33" i="19" s="1"/>
  <c r="B19" i="19"/>
  <c r="C19" i="19" s="1"/>
  <c r="E19" i="19" s="1"/>
  <c r="M10" i="14"/>
  <c r="M16" i="14"/>
  <c r="K14" i="14"/>
  <c r="K15" i="14"/>
  <c r="K13" i="14"/>
  <c r="H66" i="19" l="1"/>
  <c r="G33" i="19"/>
  <c r="J33" i="19" s="1"/>
  <c r="E33" i="19"/>
  <c r="E45" i="19"/>
  <c r="G45" i="19"/>
  <c r="G35" i="19"/>
  <c r="E35" i="19"/>
  <c r="I35" i="19"/>
  <c r="I34" i="19"/>
  <c r="I27" i="19"/>
  <c r="G27" i="19"/>
  <c r="G28" i="19"/>
  <c r="I29" i="19"/>
  <c r="I28" i="19"/>
  <c r="G29" i="19"/>
  <c r="E34" i="19"/>
  <c r="G34" i="19"/>
  <c r="E29" i="19"/>
  <c r="G47" i="19"/>
  <c r="E46" i="19"/>
  <c r="E28" i="19"/>
  <c r="G53" i="19"/>
  <c r="E53" i="19"/>
  <c r="E47" i="19"/>
  <c r="G46" i="19"/>
  <c r="G52" i="19"/>
  <c r="E52" i="19"/>
  <c r="G51" i="19"/>
  <c r="E51" i="19"/>
  <c r="E30" i="19" l="1"/>
  <c r="I30" i="19"/>
  <c r="I31" i="19" s="1"/>
  <c r="I32" i="19" s="1"/>
  <c r="J29" i="19"/>
  <c r="E54" i="19"/>
  <c r="E55" i="19" s="1"/>
  <c r="G54" i="19"/>
  <c r="G55" i="19" s="1"/>
  <c r="G48" i="19"/>
  <c r="G49" i="19" s="1"/>
  <c r="E48" i="19"/>
  <c r="E49" i="19" s="1"/>
  <c r="F66" i="19"/>
  <c r="G36" i="19"/>
  <c r="E36" i="19"/>
  <c r="J28" i="19"/>
  <c r="I36" i="19"/>
  <c r="J34" i="19"/>
  <c r="J27" i="19"/>
  <c r="G30" i="19"/>
  <c r="G31" i="19" s="1"/>
  <c r="G32" i="19" s="1"/>
  <c r="J35" i="19"/>
  <c r="E31" i="19" l="1"/>
  <c r="E32" i="19" s="1"/>
  <c r="J30" i="19"/>
  <c r="J31" i="19" s="1"/>
  <c r="J32" i="19" s="1"/>
  <c r="G50" i="19"/>
  <c r="G64" i="19" s="1"/>
  <c r="I37" i="19"/>
  <c r="I38" i="19" s="1"/>
  <c r="G56" i="19"/>
  <c r="E56" i="19"/>
  <c r="G37" i="19"/>
  <c r="G38" i="19" s="1"/>
  <c r="E37" i="19"/>
  <c r="E38" i="19" s="1"/>
  <c r="E65" i="19" s="1"/>
  <c r="J36" i="19"/>
  <c r="N15" i="14"/>
  <c r="P16" i="14"/>
  <c r="Q16" i="14"/>
  <c r="E16" i="14"/>
  <c r="P10" i="14"/>
  <c r="Q10" i="14"/>
  <c r="I14" i="14"/>
  <c r="H14" i="14"/>
  <c r="I15" i="14"/>
  <c r="H15" i="14"/>
  <c r="K9" i="14"/>
  <c r="K7" i="14"/>
  <c r="G39" i="19" l="1"/>
  <c r="G65" i="19"/>
  <c r="I39" i="19"/>
  <c r="I65" i="19"/>
  <c r="I64" i="19"/>
  <c r="E39" i="19"/>
  <c r="E50" i="19"/>
  <c r="E64" i="19" s="1"/>
  <c r="G57" i="19"/>
  <c r="J37" i="19"/>
  <c r="J38" i="19" s="1"/>
  <c r="N16" i="14"/>
  <c r="K16" i="14"/>
  <c r="K10" i="14"/>
  <c r="Q18" i="14"/>
  <c r="P18" i="14"/>
  <c r="O42" i="8"/>
  <c r="I49" i="8"/>
  <c r="I66" i="19" l="1"/>
  <c r="J65" i="19"/>
  <c r="G66" i="19"/>
  <c r="J64" i="19"/>
  <c r="E57" i="19"/>
  <c r="E66" i="19"/>
  <c r="J39" i="19"/>
  <c r="N10" i="14"/>
  <c r="N18" i="14" s="1"/>
  <c r="K18" i="14"/>
  <c r="M16" i="15"/>
  <c r="L16" i="15"/>
  <c r="E16" i="15"/>
  <c r="I14" i="15"/>
  <c r="H14" i="15"/>
  <c r="J14" i="15" s="1"/>
  <c r="I13" i="15"/>
  <c r="H13" i="15"/>
  <c r="J13" i="15" s="1"/>
  <c r="I12" i="15"/>
  <c r="H12" i="15"/>
  <c r="E10" i="15"/>
  <c r="E18" i="15" s="1"/>
  <c r="I8" i="15"/>
  <c r="H8" i="15"/>
  <c r="F8" i="15"/>
  <c r="G8" i="15" s="1"/>
  <c r="J8" i="15" s="1"/>
  <c r="I7" i="15"/>
  <c r="H7" i="15"/>
  <c r="F7" i="15"/>
  <c r="I6" i="15"/>
  <c r="H6" i="15"/>
  <c r="F6" i="15"/>
  <c r="K6" i="15" s="1"/>
  <c r="N6" i="15" s="1"/>
  <c r="I13" i="14"/>
  <c r="H13" i="14"/>
  <c r="E10" i="14"/>
  <c r="E18" i="14" s="1"/>
  <c r="I9" i="14"/>
  <c r="H9" i="14"/>
  <c r="I7" i="14"/>
  <c r="H7" i="14"/>
  <c r="H34" i="8"/>
  <c r="J16" i="15" l="1"/>
  <c r="F10" i="15"/>
  <c r="G7" i="15"/>
  <c r="J66" i="19"/>
  <c r="O18" i="14"/>
  <c r="M18" i="15"/>
  <c r="H16" i="15"/>
  <c r="I16" i="15"/>
  <c r="H16" i="14"/>
  <c r="I16" i="14"/>
  <c r="F18" i="14"/>
  <c r="I10" i="14"/>
  <c r="H10" i="15"/>
  <c r="F18" i="15"/>
  <c r="L18" i="15"/>
  <c r="H10" i="14"/>
  <c r="I10" i="15"/>
  <c r="K13" i="15"/>
  <c r="N13" i="15" s="1"/>
  <c r="K8" i="15"/>
  <c r="N8" i="15" s="1"/>
  <c r="K7" i="15"/>
  <c r="N7" i="15" s="1"/>
  <c r="N10" i="15" s="1"/>
  <c r="K12" i="15"/>
  <c r="N12" i="15" s="1"/>
  <c r="K14" i="15"/>
  <c r="N14" i="15" s="1"/>
  <c r="H18" i="15" l="1"/>
  <c r="I18" i="15"/>
  <c r="J7" i="15"/>
  <c r="J10" i="15" s="1"/>
  <c r="J18" i="15" s="1"/>
  <c r="G10" i="15"/>
  <c r="G18" i="15" s="1"/>
  <c r="N16" i="15"/>
  <c r="N18" i="15" s="1"/>
  <c r="I18" i="14"/>
  <c r="H18" i="14"/>
  <c r="K10" i="15"/>
  <c r="K16" i="15"/>
  <c r="G10" i="14"/>
  <c r="G18" i="14" s="1"/>
  <c r="K18" i="15" l="1"/>
  <c r="K6" i="8" l="1"/>
  <c r="J6" i="8"/>
  <c r="I6" i="8"/>
  <c r="K18" i="8" l="1"/>
  <c r="J7" i="8" l="1"/>
  <c r="K7" i="8"/>
  <c r="I7" i="8"/>
  <c r="K8" i="8" l="1"/>
  <c r="J8" i="8"/>
  <c r="I8" i="8"/>
  <c r="K24" i="8"/>
  <c r="K25" i="8"/>
  <c r="K26" i="8"/>
  <c r="K27" i="8"/>
  <c r="K28" i="8"/>
  <c r="K19" i="8"/>
  <c r="K20" i="8"/>
  <c r="K21" i="8"/>
  <c r="K10" i="8" l="1"/>
  <c r="K11" i="8"/>
  <c r="J11" i="8"/>
  <c r="J10" i="8"/>
  <c r="I11" i="8"/>
  <c r="I10" i="8"/>
  <c r="K22" i="8"/>
  <c r="K29" i="8"/>
  <c r="J12" i="8" l="1"/>
  <c r="J13" i="8" s="1"/>
  <c r="J14" i="8" s="1"/>
  <c r="J39" i="8" s="1"/>
  <c r="K12" i="8"/>
  <c r="K13" i="8" s="1"/>
  <c r="K30" i="8"/>
  <c r="I12" i="8"/>
  <c r="I13" i="8" s="1"/>
  <c r="I34" i="8" l="1"/>
  <c r="I35" i="8" s="1"/>
  <c r="K41" i="8" s="1"/>
  <c r="K14" i="8"/>
  <c r="K39" i="8" s="1"/>
  <c r="I14" i="8"/>
  <c r="I39" i="8" s="1"/>
  <c r="J41" i="8" l="1"/>
  <c r="J42" i="8" s="1"/>
  <c r="I41" i="8"/>
  <c r="I42" i="8" s="1"/>
  <c r="K42" i="8"/>
  <c r="M39" i="8" l="1"/>
  <c r="O39" i="8"/>
  <c r="N39" i="8"/>
  <c r="O40" i="8" l="1"/>
  <c r="I47" i="8" l="1"/>
  <c r="I48" i="8"/>
  <c r="I46" i="8"/>
</calcChain>
</file>

<file path=xl/sharedStrings.xml><?xml version="1.0" encoding="utf-8"?>
<sst xmlns="http://schemas.openxmlformats.org/spreadsheetml/2006/main" count="285" uniqueCount="192">
  <si>
    <t>Nicht-Fachkraft</t>
  </si>
  <si>
    <t>Kosten einer Fachleistungsstunde</t>
  </si>
  <si>
    <t>Fachkraft (Studium)</t>
  </si>
  <si>
    <t>Fachkraft (Ausbildung)</t>
  </si>
  <si>
    <t>Zwischensumme</t>
  </si>
  <si>
    <t>Std./Tag</t>
  </si>
  <si>
    <t>Std./Jahr</t>
  </si>
  <si>
    <t>Tage/Jahr</t>
  </si>
  <si>
    <t>Mitarbeitersupervision</t>
  </si>
  <si>
    <t>Konzeptarbeit</t>
  </si>
  <si>
    <t>Arbeits-/Gesundheitsschutz, Erste-Hilfe, Hygienevorgaben</t>
  </si>
  <si>
    <t>a) Personenbezogene indirekte Leistungen</t>
  </si>
  <si>
    <t>b) Fachspezifische indirekte Leistungen</t>
  </si>
  <si>
    <t>Teambesprechungen und Teamsupervision</t>
  </si>
  <si>
    <t>Arbeitgeber-Brutto (inkl. SV) je Vollkraft</t>
  </si>
  <si>
    <t>Bruttopersonalkosten (inkl. SV, PNK etc.) je Vollkraft</t>
  </si>
  <si>
    <t>Qualifikation:</t>
  </si>
  <si>
    <t xml:space="preserve">Gesamtaufwand je Vollkraft p. a. </t>
  </si>
  <si>
    <t>Gesamtaufwand Fachleistung pro VK</t>
  </si>
  <si>
    <t>dividiert durch effektive Jahresarbeitszeit in h je Vollkraft</t>
  </si>
  <si>
    <t>Ermittlung Gesamtaufwand Fachleistung p. a. je Vollkraft</t>
  </si>
  <si>
    <t>je LB</t>
  </si>
  <si>
    <t>Zweier-Gruppe:</t>
  </si>
  <si>
    <t>Dreier-Gruppe:</t>
  </si>
  <si>
    <t>Vierer-Gruppe:</t>
  </si>
  <si>
    <t>1. Ermittlung der durchschnittlichen Brutto-Personalkosten nach § 18 LRV</t>
  </si>
  <si>
    <t>Reduktion bei gemeinsamer Inanspruchnahme durch mehrere Leistungsberechtigte ("Poolen")</t>
  </si>
  <si>
    <t>von</t>
  </si>
  <si>
    <t>bis</t>
  </si>
  <si>
    <t>2. zzgl. Anteiliger Personalaufwand für Regieleistungen</t>
  </si>
  <si>
    <t>Vor- und Nachbereitung einschl. fallbezogener Dokumentation</t>
  </si>
  <si>
    <t>Summe personenbezogene indirekte Leistungen in Std.</t>
  </si>
  <si>
    <t>Summe fachspezifische indirekte Leistungen in Std.</t>
  </si>
  <si>
    <t>Summe indirekte Leistungen gesamt in Std.</t>
  </si>
  <si>
    <r>
      <rPr>
        <b/>
        <sz val="11"/>
        <color rgb="FF009051"/>
        <rFont val="Arial"/>
        <family val="2"/>
      </rPr>
      <t>Regieleistungen</t>
    </r>
    <r>
      <rPr>
        <sz val="11"/>
        <color theme="1"/>
        <rFont val="Arial"/>
        <family val="2"/>
      </rPr>
      <t>: in % auf Bruttopersonalkosten i.H.v.</t>
    </r>
  </si>
  <si>
    <r>
      <t xml:space="preserve">zzgl. </t>
    </r>
    <r>
      <rPr>
        <b/>
        <sz val="11"/>
        <color rgb="FF009051"/>
        <rFont val="Arial"/>
        <family val="2"/>
      </rPr>
      <t>Personalnebenkosten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i.H.v.</t>
    </r>
  </si>
  <si>
    <t>Fünfer-Gruppe:</t>
  </si>
  <si>
    <t>Kosten einer Fachleistungsstunde (= eine Zeitstunde direkte Leistungserbringung)</t>
  </si>
  <si>
    <t>Wegezeiten (h/Tag)</t>
  </si>
  <si>
    <t>Nettojahresarbeitszeit pro VK gem. § 10 Abs. 5 LRV</t>
  </si>
  <si>
    <t>Summe in h direkte Leistungszeit</t>
  </si>
  <si>
    <t>Fachkraft 
(Studium)</t>
  </si>
  <si>
    <t>Indirekte Leistungen incl. Wegezeiten je Vollkraft</t>
  </si>
  <si>
    <t>abzgl. indirekte Leistungen incl. Wegezeiten pauschal</t>
  </si>
  <si>
    <t>grüne Zellen sind angebotsindividuell auszufüllen/ können verändert werden</t>
  </si>
  <si>
    <t>gelbe Zellen für Bearbeitung gesperrt</t>
  </si>
  <si>
    <t>dividiert durch Auslastungsquote nach Anlage zu § 23 Abs. 4 LRV</t>
  </si>
  <si>
    <t>Anlage zu § 23 Abs. 3 [Kalkulation der leistungserbringer-individuellen Pauschale für die Fachleistungsstunden]</t>
  </si>
  <si>
    <r>
      <t xml:space="preserve">4. zzgl. </t>
    </r>
    <r>
      <rPr>
        <b/>
        <sz val="11"/>
        <color rgb="FF009051"/>
        <rFont val="Arial"/>
        <family val="2"/>
      </rPr>
      <t>Unternehmerrisiko/-gewinn</t>
    </r>
    <r>
      <rPr>
        <b/>
        <sz val="11"/>
        <rFont val="Arial"/>
        <family val="2"/>
      </rPr>
      <t xml:space="preserve"> i.H.v.</t>
    </r>
  </si>
  <si>
    <t>(Beispielrechnung)</t>
  </si>
  <si>
    <t>5. Ermittlung direkte Leistungszeit pro Jahr je Vollkraft</t>
  </si>
  <si>
    <t>RV-Stand Kalkulationsmuster: 02.03.2021</t>
  </si>
  <si>
    <t>Studium</t>
  </si>
  <si>
    <t>Fachkraft</t>
  </si>
  <si>
    <t>Nicht-FK</t>
  </si>
  <si>
    <t>Ergebnis</t>
  </si>
  <si>
    <t>Fachleistungsstunde Kita</t>
  </si>
  <si>
    <t>RV-Korridore</t>
  </si>
  <si>
    <t>in AG-Brutto enthalten bei städt. Durchschnittskosten</t>
  </si>
  <si>
    <t>RdRschr 21/2023 bzw. KGSt (Verwaltung, Planung, Leitungsanteile, etc.)</t>
  </si>
  <si>
    <t>Fallkonferenzen (h/Jahr) ("Runde Tische"?)</t>
  </si>
  <si>
    <t>Elterngespräche und Kooperationsgespräche</t>
  </si>
  <si>
    <r>
      <t xml:space="preserve">3. zzgl. anteilige </t>
    </r>
    <r>
      <rPr>
        <b/>
        <sz val="11"/>
        <color rgb="FF009051"/>
        <rFont val="Arial"/>
        <family val="2"/>
      </rPr>
      <t>Sachkosten</t>
    </r>
    <r>
      <rPr>
        <b/>
        <strike/>
        <sz val="11"/>
        <color rgb="FF009051"/>
        <rFont val="Arial"/>
        <family val="2"/>
      </rPr>
      <t xml:space="preserve"> u. Investitionskosten</t>
    </r>
  </si>
  <si>
    <t>Mischsatz</t>
  </si>
  <si>
    <t>abw. von RdRschr 21/2023 bzw. KGSt (10% Sachkosten Nicht-Büroarbeitsplatz)</t>
  </si>
  <si>
    <t>Rd.Schr.21/2023 (Basis 2022) 2023 Nullrunde bzw. Einmalzahlung, 2024 durchschn. 9,35%, 2025 +2%</t>
  </si>
  <si>
    <t>Aufwand gerechtfertigt? Dokumentationspflicht zu definieren.</t>
  </si>
  <si>
    <t>Schätzung, anteilige Wegezeit</t>
  </si>
  <si>
    <t>ca. 1/2 h pro Woche</t>
  </si>
  <si>
    <t>Ggf. Fallspezifische Fort-/Weiterbildungen</t>
  </si>
  <si>
    <t>Mischkalkulation Fachkräfte/Nichtfachkräfte</t>
  </si>
  <si>
    <t>z.B. Umgang mit Diabeteserkrankung o.ä.</t>
  </si>
  <si>
    <t>RdRschr 21/2023 bzw. KGSt</t>
  </si>
  <si>
    <t>wird lt. Sozialamt nicht akzeptiert - Kompensation durch Auslastungsquote</t>
  </si>
  <si>
    <t>Kinder</t>
  </si>
  <si>
    <t>x</t>
  </si>
  <si>
    <t>Monate</t>
  </si>
  <si>
    <t>(Nummerierung gem. Anlage 1 zu GRDrs 378/2024)</t>
  </si>
  <si>
    <t>Finanzierung</t>
  </si>
  <si>
    <t>Nr.</t>
  </si>
  <si>
    <t>Bezirk</t>
  </si>
  <si>
    <t>Träger</t>
  </si>
  <si>
    <t>Einrichtung</t>
  </si>
  <si>
    <t xml:space="preserve">Plätze </t>
  </si>
  <si>
    <t>Stellen-bedarf</t>
  </si>
  <si>
    <t>Personalkosten</t>
  </si>
  <si>
    <t>Sachkosten</t>
  </si>
  <si>
    <t>Kosten für Supervisionen</t>
  </si>
  <si>
    <t>Summe</t>
  </si>
  <si>
    <t>A.</t>
  </si>
  <si>
    <t>Städtischer Träger</t>
  </si>
  <si>
    <t>Nord</t>
  </si>
  <si>
    <t xml:space="preserve">Jugendamt Stuttgart </t>
  </si>
  <si>
    <t>KiFaZ Tunzhofer Straße 24</t>
  </si>
  <si>
    <t>Vaihingen</t>
  </si>
  <si>
    <t>TE für Kinder Freibadstr. 84</t>
  </si>
  <si>
    <t>Zwischensumme Förderung städtischer Träger:</t>
  </si>
  <si>
    <t>B.</t>
  </si>
  <si>
    <t>Freie Träger</t>
  </si>
  <si>
    <t xml:space="preserve">Bad Cannstatt </t>
  </si>
  <si>
    <t>St. Josef gGmbH</t>
  </si>
  <si>
    <t>KiFaZ Maria Regina</t>
  </si>
  <si>
    <t xml:space="preserve">Zuffenhausen </t>
  </si>
  <si>
    <t>Stiftung Rominger</t>
  </si>
  <si>
    <t xml:space="preserve">Kita Rominger S-Zuffenhausen </t>
  </si>
  <si>
    <t>Zwischensumme Förderung freier Träger:</t>
  </si>
  <si>
    <t>Summe:</t>
  </si>
  <si>
    <t>Jugendamt Stuttgart</t>
  </si>
  <si>
    <t>TE Dr.-Herbert-Czaja-Weg 10</t>
  </si>
  <si>
    <t>Feuerbach</t>
  </si>
  <si>
    <t>TE Burgherrenstraße 40 – 42</t>
  </si>
  <si>
    <t>West</t>
  </si>
  <si>
    <t>TE Hasenbergstraße 62</t>
  </si>
  <si>
    <t>Mitte</t>
  </si>
  <si>
    <t xml:space="preserve">IN VIA </t>
  </si>
  <si>
    <t>KiFaZ Wilde Hilde, Olgastr. 62</t>
  </si>
  <si>
    <t>Hedelfingen</t>
  </si>
  <si>
    <t>Himpelchen und Pimpelchen gGmbH</t>
  </si>
  <si>
    <t>Kita Heimgartenstraße 2/4</t>
  </si>
  <si>
    <t>Möhringen</t>
  </si>
  <si>
    <t>SOS-Kinderdorf e.V.</t>
  </si>
  <si>
    <t>Kita Europaplatz 28</t>
  </si>
  <si>
    <t>Std./Jahr gesamt</t>
  </si>
  <si>
    <t>Wochen</t>
  </si>
  <si>
    <t>Std./Monat pro Kind</t>
  </si>
  <si>
    <t>Std./Jahr pro Kind</t>
  </si>
  <si>
    <t>"Kitas S-Plus": zwischen 3 und 5 Kindern pro Einrichtung</t>
  </si>
  <si>
    <t>Anzahl Kinder:</t>
  </si>
  <si>
    <t>EUR/Jahr</t>
  </si>
  <si>
    <t>Berechnungsgrundlagen:</t>
  </si>
  <si>
    <t>"Kita S-Plus"</t>
  </si>
  <si>
    <t>TE Burgherrenstraße 40-42</t>
  </si>
  <si>
    <t>Dibber-Kita Heimgartenstraße</t>
  </si>
  <si>
    <t>KiFaZ Wilde Hilde</t>
  </si>
  <si>
    <t>SOS Kinderdorf-Kita</t>
  </si>
  <si>
    <t xml:space="preserve">abzgl. </t>
  </si>
  <si>
    <t>Vakanz (Mittelwert 2022/2023):</t>
  </si>
  <si>
    <t>TE Freibadstraße 84</t>
  </si>
  <si>
    <r>
      <t xml:space="preserve">A. Neue "Kitas S-Plus" </t>
    </r>
    <r>
      <rPr>
        <i/>
        <sz val="11"/>
        <color theme="1"/>
        <rFont val="Arial"/>
        <family val="2"/>
      </rPr>
      <t>(Nummerierung gem. Anlage 1 GRDrs 378/2024)</t>
    </r>
  </si>
  <si>
    <r>
      <t>B. Bestandseinrichtungen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(Nummerierung gem. Anlage 1 GRDrs 378/2024)</t>
    </r>
  </si>
  <si>
    <t>Förderung der neuen "Kitas S-Plus" ab 2024/2025 - Übersicht</t>
  </si>
  <si>
    <t>Förderung der Bestands-"Kitas S-Plus" ab 2024/2025 - Übersicht</t>
  </si>
  <si>
    <t>stjg gGmbH</t>
  </si>
  <si>
    <t>Kita Schwalbennest</t>
  </si>
  <si>
    <t>Std./Woche pro Kind (Ø Betreuungszeit/"Kita S-Plus"-Platz)</t>
  </si>
  <si>
    <t>EUR/Std.</t>
  </si>
  <si>
    <t>Plätze 2024</t>
  </si>
  <si>
    <t>Plätze 2025</t>
  </si>
  <si>
    <t>EUR 2025</t>
  </si>
  <si>
    <t>Weilimdorf</t>
  </si>
  <si>
    <t>2024*</t>
  </si>
  <si>
    <t>EUR 2024*</t>
  </si>
  <si>
    <t>*2024: 4 Monate (01.09. bis 31.12.2024)</t>
  </si>
  <si>
    <t>**2025: 3 Plätze bis 31.08.2025, 4 Plätze ab 01.09.2025</t>
  </si>
  <si>
    <t>01.01. - 31.08.25</t>
  </si>
  <si>
    <t>01.09. - 31.12.25</t>
  </si>
  <si>
    <t>Wangen</t>
  </si>
  <si>
    <t>KiFaZ Ebersbacher Straße 6</t>
  </si>
  <si>
    <t>KiFaZ Ebersbacher Str. 6</t>
  </si>
  <si>
    <t>KiFaZ Maria Regina**</t>
  </si>
  <si>
    <t>Kita Schwalbennest**</t>
  </si>
  <si>
    <t>*4 Monate (01.09. bis 31.12.2024)</t>
  </si>
  <si>
    <t>Summe 2025</t>
  </si>
  <si>
    <t>01.01. - 31.12.25</t>
  </si>
  <si>
    <t>Zwischensumme städt.Träger</t>
  </si>
  <si>
    <t>Zwischensumme freieTräger</t>
  </si>
  <si>
    <t>C. Gesamt Neue und Bestandseinrichtungen</t>
  </si>
  <si>
    <r>
      <t>2024</t>
    </r>
    <r>
      <rPr>
        <b/>
        <vertAlign val="superscript"/>
        <sz val="11"/>
        <color theme="1"/>
        <rFont val="Arial"/>
        <family val="2"/>
      </rPr>
      <t>1)</t>
    </r>
  </si>
  <si>
    <r>
      <rPr>
        <vertAlign val="superscript"/>
        <sz val="11"/>
        <color theme="1"/>
        <rFont val="Arial"/>
        <family val="2"/>
      </rPr>
      <t>1)</t>
    </r>
    <r>
      <rPr>
        <sz val="11"/>
        <color theme="1"/>
        <rFont val="Arial"/>
        <family val="2"/>
      </rPr>
      <t>2024: 4 Monate (01.09. bis 31.12.2024)</t>
    </r>
  </si>
  <si>
    <r>
      <t xml:space="preserve">Stellen-bedarf </t>
    </r>
    <r>
      <rPr>
        <b/>
        <vertAlign val="superscript"/>
        <sz val="11"/>
        <color theme="1"/>
        <rFont val="Arial"/>
        <family val="2"/>
      </rPr>
      <t>2)</t>
    </r>
  </si>
  <si>
    <r>
      <rPr>
        <b/>
        <vertAlign val="superscript"/>
        <sz val="11"/>
        <color theme="1"/>
        <rFont val="Arial"/>
        <family val="2"/>
      </rPr>
      <t>2)</t>
    </r>
    <r>
      <rPr>
        <b/>
        <sz val="11"/>
        <color theme="1"/>
        <rFont val="Arial"/>
        <family val="2"/>
      </rPr>
      <t xml:space="preserve"> Stellenbedarf neu; alter Stellenbedarf 1,0 je Einrichtung, d.h. Mehrbedarf 2,25 Stellen</t>
    </r>
  </si>
  <si>
    <t>Vakanz (Schätzung):</t>
  </si>
  <si>
    <t>Mischsatz Pooling: Kalkulation Fachleistungsstunden (Stand: 21.06.24)</t>
  </si>
  <si>
    <t>Finanzierungsmittel aus EGH-Leistungen "Kitas S-Plus" ab 2024/2025 - Übersicht</t>
  </si>
  <si>
    <t>Voraussichtliche Finanzierung aus EGH-Leistungen:</t>
  </si>
  <si>
    <t>städt. Arbeitsplatzkosten gem. RdSchr. 21/2023</t>
  </si>
  <si>
    <t>darunter bereits finanziert (nachrichtlich)</t>
  </si>
  <si>
    <t>Finanzierung IFK-Pools</t>
  </si>
  <si>
    <t>Finanzierung in EUR</t>
  </si>
  <si>
    <t>IFK-Pool Evangelische Kirche in Stuttgart</t>
  </si>
  <si>
    <t>Inklusionsfachkräfte (für 10 Kinder)</t>
  </si>
  <si>
    <t>IFK-Pool Katholische Kirche in Stuttgart</t>
  </si>
  <si>
    <t>Inklusionsfachkräfte (für 7 Kinder)</t>
  </si>
  <si>
    <t>Summe IFK-Kräfte</t>
  </si>
  <si>
    <t>Nachrichtlich: Zuzüglich Koordinationsstellen (0,9 VZK ev. Kirche + 0,6 VZK kath. Kirche)  vgl. GRDrs 207/2024</t>
  </si>
  <si>
    <t>Gesamtsumme</t>
  </si>
  <si>
    <t xml:space="preserve">Erstattung aus EGH </t>
  </si>
  <si>
    <t>Ungedeckter Aufwand (zu decken aus HH-Mitteln 2024/2025)</t>
  </si>
  <si>
    <r>
      <t xml:space="preserve">4,67 Stellen S 9 TVöD SuE </t>
    </r>
    <r>
      <rPr>
        <sz val="10"/>
        <color theme="1"/>
        <rFont val="Arial"/>
        <family val="2"/>
      </rPr>
      <t>(68.200 EUR p.a., städt. Arbeitsplatzkosten)</t>
    </r>
  </si>
  <si>
    <t>3,27 Stellen S 9 TVöD SuE (68.200 EUR p.a., städt. Arbeitsplatzkosten)</t>
  </si>
  <si>
    <t>Vorauss. EGH-Finanz.städt. Träger:</t>
  </si>
  <si>
    <t>Vorauss. EGH-Finanz. freie Träger: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</si>
</sst>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&quot;€&quot;"/>
    <numFmt numFmtId="165" formatCode="0.0%"/>
    <numFmt numFmtId="166" formatCode="#,##0.00\ &quot;h&quot;"/>
    <numFmt numFmtId="167" formatCode="#,##0\ &quot;h&quot;"/>
    <numFmt numFmtId="168" formatCode="_-* #,##0\ &quot;€&quot;_-;\-* #,##0\ &quot;€&quot;_-;_-* &quot;-&quot;??\ &quot;€&quot;_-;_-@_-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rgb="FF009051"/>
      <name val="Arial"/>
      <family val="2"/>
    </font>
    <font>
      <b/>
      <u/>
      <sz val="11"/>
      <color rgb="FF7030A0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name val="Arial"/>
      <family val="2"/>
    </font>
    <font>
      <b/>
      <i/>
      <sz val="11"/>
      <color rgb="FFFF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trike/>
      <sz val="11"/>
      <color rgb="FF00905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i/>
      <sz val="11"/>
      <color theme="1"/>
      <name val="Arial"/>
      <family val="2"/>
    </font>
    <font>
      <b/>
      <sz val="11"/>
      <color rgb="FFC00000"/>
      <name val="Arial"/>
      <family val="2"/>
    </font>
    <font>
      <i/>
      <sz val="9"/>
      <color theme="1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1"/>
      <color theme="0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sz val="11"/>
      <color rgb="FFC00000"/>
      <name val="Arial"/>
      <family val="2"/>
    </font>
    <font>
      <b/>
      <sz val="9"/>
      <color rgb="FFC00000"/>
      <name val="Arial"/>
      <family val="2"/>
    </font>
    <font>
      <b/>
      <sz val="14"/>
      <name val="Arial"/>
      <family val="2"/>
    </font>
    <font>
      <b/>
      <i/>
      <sz val="9"/>
      <color rgb="FFC00000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5D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8">
    <xf numFmtId="0" fontId="0" fillId="0" borderId="0"/>
    <xf numFmtId="0" fontId="13" fillId="0" borderId="0"/>
    <xf numFmtId="9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422">
    <xf numFmtId="0" fontId="0" fillId="0" borderId="0" xfId="0"/>
    <xf numFmtId="0" fontId="15" fillId="0" borderId="0" xfId="0" applyFont="1" applyAlignment="1">
      <alignment vertical="top"/>
    </xf>
    <xf numFmtId="0" fontId="19" fillId="0" borderId="0" xfId="0" applyFont="1" applyFill="1" applyAlignment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right" vertical="top"/>
    </xf>
    <xf numFmtId="4" fontId="12" fillId="0" borderId="0" xfId="0" applyNumberFormat="1" applyFont="1" applyAlignment="1">
      <alignment vertical="top"/>
    </xf>
    <xf numFmtId="0" fontId="12" fillId="0" borderId="0" xfId="0" applyFont="1" applyBorder="1" applyAlignment="1">
      <alignment vertical="top"/>
    </xf>
    <xf numFmtId="164" fontId="12" fillId="0" borderId="0" xfId="0" applyNumberFormat="1" applyFont="1" applyBorder="1" applyAlignment="1">
      <alignment vertical="top"/>
    </xf>
    <xf numFmtId="44" fontId="12" fillId="0" borderId="0" xfId="3" applyFont="1" applyAlignment="1">
      <alignment vertical="top"/>
    </xf>
    <xf numFmtId="0" fontId="18" fillId="3" borderId="12" xfId="0" applyFont="1" applyFill="1" applyBorder="1" applyAlignment="1">
      <alignment vertical="top"/>
    </xf>
    <xf numFmtId="0" fontId="15" fillId="4" borderId="5" xfId="0" applyFont="1" applyFill="1" applyBorder="1" applyAlignment="1">
      <alignment vertical="top"/>
    </xf>
    <xf numFmtId="0" fontId="15" fillId="4" borderId="4" xfId="0" applyFont="1" applyFill="1" applyBorder="1" applyAlignment="1">
      <alignment vertical="top"/>
    </xf>
    <xf numFmtId="9" fontId="15" fillId="4" borderId="4" xfId="0" applyNumberFormat="1" applyFont="1" applyFill="1" applyBorder="1" applyAlignment="1">
      <alignment vertical="top"/>
    </xf>
    <xf numFmtId="0" fontId="15" fillId="4" borderId="6" xfId="0" applyFont="1" applyFill="1" applyBorder="1" applyAlignment="1">
      <alignment vertical="top"/>
    </xf>
    <xf numFmtId="0" fontId="15" fillId="4" borderId="7" xfId="0" applyFont="1" applyFill="1" applyBorder="1" applyAlignment="1">
      <alignment vertical="top"/>
    </xf>
    <xf numFmtId="9" fontId="15" fillId="4" borderId="7" xfId="0" applyNumberFormat="1" applyFont="1" applyFill="1" applyBorder="1" applyAlignment="1">
      <alignment vertical="top"/>
    </xf>
    <xf numFmtId="10" fontId="20" fillId="0" borderId="4" xfId="0" applyNumberFormat="1" applyFont="1" applyFill="1" applyBorder="1" applyAlignment="1">
      <alignment horizontal="center" vertical="top"/>
    </xf>
    <xf numFmtId="0" fontId="23" fillId="0" borderId="0" xfId="0" applyFont="1"/>
    <xf numFmtId="164" fontId="15" fillId="5" borderId="14" xfId="0" applyNumberFormat="1" applyFont="1" applyFill="1" applyBorder="1" applyAlignment="1">
      <alignment horizontal="center"/>
    </xf>
    <xf numFmtId="164" fontId="15" fillId="6" borderId="14" xfId="0" applyNumberFormat="1" applyFont="1" applyFill="1" applyBorder="1" applyAlignment="1" applyProtection="1">
      <alignment horizontal="center"/>
      <protection locked="0"/>
    </xf>
    <xf numFmtId="164" fontId="15" fillId="5" borderId="31" xfId="0" applyNumberFormat="1" applyFont="1" applyFill="1" applyBorder="1" applyAlignment="1">
      <alignment horizontal="center"/>
    </xf>
    <xf numFmtId="0" fontId="16" fillId="0" borderId="4" xfId="0" applyFont="1" applyFill="1" applyBorder="1" applyAlignment="1">
      <alignment horizontal="right" vertical="top" wrapText="1"/>
    </xf>
    <xf numFmtId="0" fontId="16" fillId="0" borderId="13" xfId="0" applyFont="1" applyFill="1" applyBorder="1" applyAlignment="1">
      <alignment horizontal="right" vertical="top" wrapText="1"/>
    </xf>
    <xf numFmtId="164" fontId="15" fillId="5" borderId="16" xfId="0" applyNumberFormat="1" applyFont="1" applyFill="1" applyBorder="1" applyAlignment="1">
      <alignment horizontal="center"/>
    </xf>
    <xf numFmtId="164" fontId="16" fillId="5" borderId="36" xfId="0" applyNumberFormat="1" applyFont="1" applyFill="1" applyBorder="1" applyAlignment="1">
      <alignment horizontal="center" wrapText="1"/>
    </xf>
    <xf numFmtId="164" fontId="16" fillId="5" borderId="37" xfId="0" applyNumberFormat="1" applyFont="1" applyFill="1" applyBorder="1" applyAlignment="1">
      <alignment horizontal="center" wrapText="1"/>
    </xf>
    <xf numFmtId="164" fontId="16" fillId="5" borderId="38" xfId="0" applyNumberFormat="1" applyFont="1" applyFill="1" applyBorder="1" applyAlignment="1">
      <alignment horizontal="center" wrapText="1"/>
    </xf>
    <xf numFmtId="164" fontId="16" fillId="5" borderId="37" xfId="0" applyNumberFormat="1" applyFont="1" applyFill="1" applyBorder="1" applyAlignment="1">
      <alignment horizontal="right" wrapText="1"/>
    </xf>
    <xf numFmtId="164" fontId="16" fillId="5" borderId="38" xfId="0" applyNumberFormat="1" applyFont="1" applyFill="1" applyBorder="1" applyAlignment="1">
      <alignment horizontal="right" wrapText="1"/>
    </xf>
    <xf numFmtId="164" fontId="15" fillId="5" borderId="45" xfId="0" applyNumberFormat="1" applyFont="1" applyFill="1" applyBorder="1" applyAlignment="1">
      <alignment horizontal="center"/>
    </xf>
    <xf numFmtId="164" fontId="15" fillId="5" borderId="43" xfId="0" applyNumberFormat="1" applyFont="1" applyFill="1" applyBorder="1" applyAlignment="1">
      <alignment horizontal="center"/>
    </xf>
    <xf numFmtId="164" fontId="15" fillId="6" borderId="15" xfId="0" applyNumberFormat="1" applyFont="1" applyFill="1" applyBorder="1" applyAlignment="1" applyProtection="1">
      <alignment horizontal="center"/>
      <protection locked="0"/>
    </xf>
    <xf numFmtId="164" fontId="15" fillId="5" borderId="44" xfId="0" applyNumberFormat="1" applyFont="1" applyFill="1" applyBorder="1" applyAlignment="1">
      <alignment horizontal="center"/>
    </xf>
    <xf numFmtId="0" fontId="18" fillId="3" borderId="50" xfId="0" applyFont="1" applyFill="1" applyBorder="1" applyAlignment="1">
      <alignment vertical="top"/>
    </xf>
    <xf numFmtId="164" fontId="15" fillId="5" borderId="51" xfId="0" applyNumberFormat="1" applyFont="1" applyFill="1" applyBorder="1" applyAlignment="1">
      <alignment horizontal="center"/>
    </xf>
    <xf numFmtId="164" fontId="15" fillId="5" borderId="53" xfId="0" applyNumberFormat="1" applyFont="1" applyFill="1" applyBorder="1" applyAlignment="1">
      <alignment horizontal="center"/>
    </xf>
    <xf numFmtId="164" fontId="16" fillId="5" borderId="39" xfId="0" applyNumberFormat="1" applyFont="1" applyFill="1" applyBorder="1" applyAlignment="1">
      <alignment horizontal="center"/>
    </xf>
    <xf numFmtId="164" fontId="16" fillId="5" borderId="55" xfId="0" applyNumberFormat="1" applyFont="1" applyFill="1" applyBorder="1" applyAlignment="1">
      <alignment horizontal="center"/>
    </xf>
    <xf numFmtId="10" fontId="16" fillId="5" borderId="20" xfId="4" applyNumberFormat="1" applyFont="1" applyFill="1" applyBorder="1" applyAlignment="1">
      <alignment horizontal="right"/>
    </xf>
    <xf numFmtId="0" fontId="17" fillId="2" borderId="10" xfId="0" applyFont="1" applyFill="1" applyBorder="1" applyAlignment="1">
      <alignment horizontal="right" vertical="top"/>
    </xf>
    <xf numFmtId="0" fontId="15" fillId="0" borderId="1" xfId="0" applyFont="1" applyFill="1" applyBorder="1" applyAlignment="1">
      <alignment vertical="top"/>
    </xf>
    <xf numFmtId="9" fontId="20" fillId="0" borderId="1" xfId="0" applyNumberFormat="1" applyFont="1" applyFill="1" applyBorder="1" applyAlignment="1">
      <alignment horizontal="center" vertical="top"/>
    </xf>
    <xf numFmtId="164" fontId="15" fillId="5" borderId="56" xfId="0" applyNumberFormat="1" applyFont="1" applyFill="1" applyBorder="1" applyAlignment="1">
      <alignment horizontal="center"/>
    </xf>
    <xf numFmtId="9" fontId="20" fillId="0" borderId="60" xfId="0" applyNumberFormat="1" applyFont="1" applyFill="1" applyBorder="1" applyAlignment="1">
      <alignment horizontal="left" vertical="top" wrapText="1"/>
    </xf>
    <xf numFmtId="0" fontId="12" fillId="0" borderId="48" xfId="0" applyFont="1" applyFill="1" applyBorder="1" applyAlignment="1">
      <alignment horizontal="left" vertical="top"/>
    </xf>
    <xf numFmtId="164" fontId="15" fillId="5" borderId="15" xfId="0" applyNumberFormat="1" applyFont="1" applyFill="1" applyBorder="1" applyAlignment="1">
      <alignment horizontal="center"/>
    </xf>
    <xf numFmtId="164" fontId="16" fillId="5" borderId="46" xfId="0" applyNumberFormat="1" applyFont="1" applyFill="1" applyBorder="1" applyAlignment="1">
      <alignment horizontal="center" wrapText="1"/>
    </xf>
    <xf numFmtId="164" fontId="16" fillId="5" borderId="47" xfId="0" applyNumberFormat="1" applyFont="1" applyFill="1" applyBorder="1" applyAlignment="1">
      <alignment horizontal="center" wrapText="1"/>
    </xf>
    <xf numFmtId="164" fontId="16" fillId="5" borderId="62" xfId="0" applyNumberFormat="1" applyFont="1" applyFill="1" applyBorder="1" applyAlignment="1">
      <alignment horizontal="center" wrapText="1"/>
    </xf>
    <xf numFmtId="164" fontId="16" fillId="5" borderId="64" xfId="0" applyNumberFormat="1" applyFont="1" applyFill="1" applyBorder="1" applyAlignment="1">
      <alignment horizontal="right"/>
    </xf>
    <xf numFmtId="164" fontId="16" fillId="5" borderId="14" xfId="0" applyNumberFormat="1" applyFont="1" applyFill="1" applyBorder="1" applyAlignment="1">
      <alignment horizontal="right"/>
    </xf>
    <xf numFmtId="164" fontId="16" fillId="5" borderId="15" xfId="0" applyNumberFormat="1" applyFont="1" applyFill="1" applyBorder="1" applyAlignment="1">
      <alignment horizontal="right"/>
    </xf>
    <xf numFmtId="164" fontId="16" fillId="7" borderId="25" xfId="0" applyNumberFormat="1" applyFont="1" applyFill="1" applyBorder="1" applyAlignment="1">
      <alignment horizontal="right"/>
    </xf>
    <xf numFmtId="164" fontId="16" fillId="7" borderId="51" xfId="0" applyNumberFormat="1" applyFont="1" applyFill="1" applyBorder="1" applyAlignment="1">
      <alignment horizontal="right"/>
    </xf>
    <xf numFmtId="164" fontId="16" fillId="7" borderId="16" xfId="0" applyNumberFormat="1" applyFont="1" applyFill="1" applyBorder="1" applyAlignment="1">
      <alignment horizontal="right"/>
    </xf>
    <xf numFmtId="9" fontId="16" fillId="5" borderId="14" xfId="4" applyFont="1" applyFill="1" applyBorder="1" applyAlignment="1">
      <alignment horizontal="right"/>
    </xf>
    <xf numFmtId="0" fontId="15" fillId="4" borderId="52" xfId="0" applyFont="1" applyFill="1" applyBorder="1" applyAlignment="1">
      <alignment vertical="top"/>
    </xf>
    <xf numFmtId="0" fontId="15" fillId="4" borderId="11" xfId="0" applyFont="1" applyFill="1" applyBorder="1" applyAlignment="1">
      <alignment vertical="top"/>
    </xf>
    <xf numFmtId="9" fontId="16" fillId="5" borderId="47" xfId="4" applyFont="1" applyFill="1" applyBorder="1" applyAlignment="1">
      <alignment horizontal="right"/>
    </xf>
    <xf numFmtId="9" fontId="15" fillId="4" borderId="11" xfId="0" applyNumberFormat="1" applyFont="1" applyFill="1" applyBorder="1" applyAlignment="1">
      <alignment vertical="top"/>
    </xf>
    <xf numFmtId="9" fontId="16" fillId="5" borderId="20" xfId="4" applyFont="1" applyFill="1" applyBorder="1" applyAlignment="1">
      <alignment horizontal="right"/>
    </xf>
    <xf numFmtId="164" fontId="15" fillId="5" borderId="70" xfId="0" applyNumberFormat="1" applyFont="1" applyFill="1" applyBorder="1" applyAlignment="1">
      <alignment horizontal="center"/>
    </xf>
    <xf numFmtId="164" fontId="15" fillId="5" borderId="71" xfId="0" applyNumberFormat="1" applyFont="1" applyFill="1" applyBorder="1" applyAlignment="1">
      <alignment horizontal="center"/>
    </xf>
    <xf numFmtId="164" fontId="15" fillId="6" borderId="61" xfId="0" applyNumberFormat="1" applyFont="1" applyFill="1" applyBorder="1" applyAlignment="1" applyProtection="1">
      <alignment horizontal="center"/>
      <protection locked="0"/>
    </xf>
    <xf numFmtId="10" fontId="16" fillId="6" borderId="15" xfId="0" applyNumberFormat="1" applyFont="1" applyFill="1" applyBorder="1" applyAlignment="1" applyProtection="1">
      <alignment horizontal="center"/>
      <protection locked="0"/>
    </xf>
    <xf numFmtId="0" fontId="18" fillId="3" borderId="72" xfId="0" applyFont="1" applyFill="1" applyBorder="1" applyAlignment="1">
      <alignment vertical="top"/>
    </xf>
    <xf numFmtId="164" fontId="16" fillId="5" borderId="54" xfId="0" applyNumberFormat="1" applyFont="1" applyFill="1" applyBorder="1" applyAlignment="1">
      <alignment horizontal="center"/>
    </xf>
    <xf numFmtId="164" fontId="15" fillId="5" borderId="66" xfId="0" applyNumberFormat="1" applyFont="1" applyFill="1" applyBorder="1" applyAlignment="1">
      <alignment horizontal="center"/>
    </xf>
    <xf numFmtId="164" fontId="15" fillId="5" borderId="61" xfId="0" applyNumberFormat="1" applyFont="1" applyFill="1" applyBorder="1" applyAlignment="1">
      <alignment horizontal="center"/>
    </xf>
    <xf numFmtId="164" fontId="15" fillId="5" borderId="73" xfId="0" applyNumberFormat="1" applyFont="1" applyFill="1" applyBorder="1" applyAlignment="1">
      <alignment horizontal="center"/>
    </xf>
    <xf numFmtId="10" fontId="16" fillId="6" borderId="53" xfId="0" applyNumberFormat="1" applyFont="1" applyFill="1" applyBorder="1" applyAlignment="1" applyProtection="1">
      <alignment horizontal="center"/>
      <protection locked="0"/>
    </xf>
    <xf numFmtId="10" fontId="16" fillId="6" borderId="56" xfId="0" applyNumberFormat="1" applyFont="1" applyFill="1" applyBorder="1" applyAlignment="1" applyProtection="1">
      <alignment horizontal="center"/>
      <protection locked="0"/>
    </xf>
    <xf numFmtId="164" fontId="16" fillId="5" borderId="18" xfId="0" applyNumberFormat="1" applyFont="1" applyFill="1" applyBorder="1" applyAlignment="1">
      <alignment horizontal="right" wrapText="1"/>
    </xf>
    <xf numFmtId="0" fontId="15" fillId="0" borderId="69" xfId="0" applyFont="1" applyBorder="1" applyAlignment="1">
      <alignment horizontal="left" vertical="top" wrapText="1"/>
    </xf>
    <xf numFmtId="165" fontId="15" fillId="5" borderId="24" xfId="0" applyNumberFormat="1" applyFont="1" applyFill="1" applyBorder="1" applyAlignment="1">
      <alignment horizontal="center" vertical="top"/>
    </xf>
    <xf numFmtId="165" fontId="15" fillId="5" borderId="8" xfId="0" applyNumberFormat="1" applyFont="1" applyFill="1" applyBorder="1" applyAlignment="1">
      <alignment horizontal="center" vertical="top"/>
    </xf>
    <xf numFmtId="9" fontId="15" fillId="5" borderId="24" xfId="0" applyNumberFormat="1" applyFont="1" applyFill="1" applyBorder="1" applyAlignment="1">
      <alignment horizontal="center" vertical="top"/>
    </xf>
    <xf numFmtId="0" fontId="16" fillId="2" borderId="24" xfId="0" applyFont="1" applyFill="1" applyBorder="1" applyAlignment="1">
      <alignment horizontal="center" vertical="top"/>
    </xf>
    <xf numFmtId="0" fontId="16" fillId="2" borderId="8" xfId="0" applyFont="1" applyFill="1" applyBorder="1" applyAlignment="1">
      <alignment horizontal="center" vertical="top"/>
    </xf>
    <xf numFmtId="0" fontId="15" fillId="3" borderId="27" xfId="0" applyFont="1" applyFill="1" applyBorder="1" applyAlignment="1">
      <alignment vertical="top"/>
    </xf>
    <xf numFmtId="0" fontId="15" fillId="3" borderId="21" xfId="0" applyFont="1" applyFill="1" applyBorder="1" applyAlignment="1">
      <alignment vertical="top"/>
    </xf>
    <xf numFmtId="0" fontId="15" fillId="3" borderId="28" xfId="0" applyFont="1" applyFill="1" applyBorder="1" applyAlignment="1">
      <alignment vertical="top"/>
    </xf>
    <xf numFmtId="0" fontId="15" fillId="3" borderId="35" xfId="0" applyFont="1" applyFill="1" applyBorder="1" applyAlignment="1">
      <alignment vertical="top"/>
    </xf>
    <xf numFmtId="165" fontId="15" fillId="3" borderId="28" xfId="0" applyNumberFormat="1" applyFont="1" applyFill="1" applyBorder="1" applyAlignment="1">
      <alignment vertical="top"/>
    </xf>
    <xf numFmtId="165" fontId="15" fillId="3" borderId="35" xfId="0" applyNumberFormat="1" applyFont="1" applyFill="1" applyBorder="1" applyAlignment="1">
      <alignment vertical="top"/>
    </xf>
    <xf numFmtId="9" fontId="16" fillId="3" borderId="28" xfId="0" applyNumberFormat="1" applyFont="1" applyFill="1" applyBorder="1" applyAlignment="1">
      <alignment vertical="top"/>
    </xf>
    <xf numFmtId="0" fontId="15" fillId="3" borderId="29" xfId="0" applyFont="1" applyFill="1" applyBorder="1" applyAlignment="1">
      <alignment vertical="top"/>
    </xf>
    <xf numFmtId="0" fontId="25" fillId="0" borderId="11" xfId="0" applyFont="1" applyFill="1" applyBorder="1" applyAlignment="1">
      <alignment vertical="top"/>
    </xf>
    <xf numFmtId="0" fontId="15" fillId="0" borderId="11" xfId="0" applyFont="1" applyBorder="1" applyAlignment="1">
      <alignment vertical="top"/>
    </xf>
    <xf numFmtId="0" fontId="15" fillId="0" borderId="63" xfId="0" applyFont="1" applyBorder="1" applyAlignment="1">
      <alignment vertical="top"/>
    </xf>
    <xf numFmtId="0" fontId="20" fillId="0" borderId="0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12" fillId="0" borderId="75" xfId="0" applyFont="1" applyBorder="1" applyAlignment="1">
      <alignment vertical="top"/>
    </xf>
    <xf numFmtId="0" fontId="15" fillId="6" borderId="0" xfId="0" applyFont="1" applyFill="1" applyProtection="1">
      <protection locked="0"/>
    </xf>
    <xf numFmtId="0" fontId="15" fillId="0" borderId="0" xfId="0" applyFont="1"/>
    <xf numFmtId="0" fontId="15" fillId="5" borderId="0" xfId="0" applyFont="1" applyFill="1" applyProtection="1">
      <protection locked="0"/>
    </xf>
    <xf numFmtId="0" fontId="20" fillId="0" borderId="0" xfId="0" applyFont="1" applyAlignment="1">
      <alignment horizontal="right"/>
    </xf>
    <xf numFmtId="165" fontId="12" fillId="0" borderId="0" xfId="0" applyNumberFormat="1" applyFont="1" applyAlignment="1">
      <alignment vertical="top"/>
    </xf>
    <xf numFmtId="166" fontId="15" fillId="6" borderId="30" xfId="0" applyNumberFormat="1" applyFont="1" applyFill="1" applyBorder="1" applyAlignment="1" applyProtection="1">
      <alignment horizontal="right"/>
      <protection locked="0"/>
    </xf>
    <xf numFmtId="166" fontId="15" fillId="5" borderId="42" xfId="0" applyNumberFormat="1" applyFont="1" applyFill="1" applyBorder="1" applyAlignment="1">
      <alignment horizontal="right"/>
    </xf>
    <xf numFmtId="166" fontId="15" fillId="6" borderId="61" xfId="0" applyNumberFormat="1" applyFont="1" applyFill="1" applyBorder="1" applyAlignment="1" applyProtection="1">
      <alignment horizontal="right"/>
      <protection locked="0"/>
    </xf>
    <xf numFmtId="166" fontId="15" fillId="5" borderId="15" xfId="0" applyNumberFormat="1" applyFont="1" applyFill="1" applyBorder="1" applyAlignment="1">
      <alignment horizontal="right"/>
    </xf>
    <xf numFmtId="166" fontId="15" fillId="6" borderId="41" xfId="0" applyNumberFormat="1" applyFont="1" applyFill="1" applyBorder="1" applyAlignment="1" applyProtection="1">
      <alignment horizontal="right"/>
      <protection locked="0"/>
    </xf>
    <xf numFmtId="166" fontId="15" fillId="5" borderId="19" xfId="0" applyNumberFormat="1" applyFont="1" applyFill="1" applyBorder="1" applyAlignment="1">
      <alignment horizontal="right"/>
    </xf>
    <xf numFmtId="166" fontId="15" fillId="6" borderId="74" xfId="0" applyNumberFormat="1" applyFont="1" applyFill="1" applyBorder="1" applyAlignment="1" applyProtection="1">
      <alignment horizontal="right"/>
      <protection locked="0"/>
    </xf>
    <xf numFmtId="166" fontId="16" fillId="5" borderId="38" xfId="0" applyNumberFormat="1" applyFont="1" applyFill="1" applyBorder="1" applyAlignment="1">
      <alignment horizontal="right"/>
    </xf>
    <xf numFmtId="166" fontId="16" fillId="5" borderId="56" xfId="0" applyNumberFormat="1" applyFont="1" applyFill="1" applyBorder="1" applyAlignment="1">
      <alignment horizontal="right"/>
    </xf>
    <xf numFmtId="166" fontId="16" fillId="5" borderId="55" xfId="0" applyNumberFormat="1" applyFont="1" applyFill="1" applyBorder="1" applyAlignment="1">
      <alignment horizontal="right"/>
    </xf>
    <xf numFmtId="4" fontId="15" fillId="6" borderId="17" xfId="0" applyNumberFormat="1" applyFont="1" applyFill="1" applyBorder="1" applyAlignment="1" applyProtection="1">
      <alignment horizontal="right"/>
      <protection locked="0"/>
    </xf>
    <xf numFmtId="4" fontId="15" fillId="6" borderId="14" xfId="0" applyNumberFormat="1" applyFont="1" applyFill="1" applyBorder="1" applyAlignment="1" applyProtection="1">
      <alignment horizontal="right"/>
      <protection locked="0"/>
    </xf>
    <xf numFmtId="4" fontId="15" fillId="6" borderId="20" xfId="0" applyNumberFormat="1" applyFont="1" applyFill="1" applyBorder="1" applyAlignment="1" applyProtection="1">
      <alignment horizontal="right"/>
      <protection locked="0"/>
    </xf>
    <xf numFmtId="166" fontId="16" fillId="5" borderId="19" xfId="0" applyNumberFormat="1" applyFont="1" applyFill="1" applyBorder="1" applyAlignment="1">
      <alignment horizontal="right"/>
    </xf>
    <xf numFmtId="166" fontId="15" fillId="5" borderId="76" xfId="0" applyNumberFormat="1" applyFont="1" applyFill="1" applyBorder="1" applyAlignment="1">
      <alignment horizontal="right"/>
    </xf>
    <xf numFmtId="166" fontId="15" fillId="5" borderId="77" xfId="0" applyNumberFormat="1" applyFont="1" applyFill="1" applyBorder="1" applyAlignment="1">
      <alignment horizontal="right"/>
    </xf>
    <xf numFmtId="166" fontId="15" fillId="5" borderId="78" xfId="0" applyNumberFormat="1" applyFont="1" applyFill="1" applyBorder="1" applyAlignment="1">
      <alignment horizontal="right"/>
    </xf>
    <xf numFmtId="167" fontId="15" fillId="5" borderId="24" xfId="0" applyNumberFormat="1" applyFont="1" applyFill="1" applyBorder="1" applyAlignment="1">
      <alignment horizontal="center"/>
    </xf>
    <xf numFmtId="167" fontId="15" fillId="5" borderId="38" xfId="0" applyNumberFormat="1" applyFont="1" applyFill="1" applyBorder="1" applyAlignment="1">
      <alignment horizontal="center"/>
    </xf>
    <xf numFmtId="167" fontId="15" fillId="6" borderId="62" xfId="0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Alignment="1">
      <alignment vertical="top"/>
    </xf>
    <xf numFmtId="0" fontId="26" fillId="0" borderId="0" xfId="0" applyFont="1" applyFill="1" applyBorder="1" applyAlignment="1">
      <alignment vertical="top"/>
    </xf>
    <xf numFmtId="0" fontId="27" fillId="7" borderId="0" xfId="0" applyFont="1" applyFill="1" applyAlignment="1">
      <alignment vertical="top"/>
    </xf>
    <xf numFmtId="164" fontId="27" fillId="7" borderId="0" xfId="0" applyNumberFormat="1" applyFont="1" applyFill="1" applyAlignment="1">
      <alignment vertical="top"/>
    </xf>
    <xf numFmtId="164" fontId="12" fillId="5" borderId="0" xfId="0" applyNumberFormat="1" applyFont="1" applyFill="1" applyAlignment="1">
      <alignment vertical="top"/>
    </xf>
    <xf numFmtId="164" fontId="12" fillId="5" borderId="0" xfId="0" applyNumberFormat="1" applyFont="1" applyFill="1" applyBorder="1" applyAlignment="1">
      <alignment vertical="top"/>
    </xf>
    <xf numFmtId="0" fontId="15" fillId="2" borderId="0" xfId="0" applyFont="1" applyFill="1" applyAlignment="1">
      <alignment vertical="top"/>
    </xf>
    <xf numFmtId="0" fontId="28" fillId="0" borderId="0" xfId="0" applyFont="1" applyAlignment="1">
      <alignment vertical="top"/>
    </xf>
    <xf numFmtId="165" fontId="28" fillId="0" borderId="0" xfId="0" applyNumberFormat="1" applyFont="1" applyAlignment="1">
      <alignment vertical="top"/>
    </xf>
    <xf numFmtId="165" fontId="28" fillId="0" borderId="0" xfId="0" applyNumberFormat="1" applyFont="1" applyFill="1" applyAlignment="1">
      <alignment vertical="top"/>
    </xf>
    <xf numFmtId="165" fontId="13" fillId="0" borderId="0" xfId="0" applyNumberFormat="1" applyFont="1" applyAlignment="1">
      <alignment vertical="top"/>
    </xf>
    <xf numFmtId="4" fontId="28" fillId="0" borderId="0" xfId="0" applyNumberFormat="1" applyFont="1" applyAlignment="1">
      <alignment vertical="top"/>
    </xf>
    <xf numFmtId="9" fontId="21" fillId="8" borderId="0" xfId="4" applyFont="1" applyFill="1" applyAlignment="1">
      <alignment vertical="top"/>
    </xf>
    <xf numFmtId="9" fontId="21" fillId="5" borderId="33" xfId="4" applyFont="1" applyFill="1" applyBorder="1" applyAlignment="1">
      <alignment horizontal="right"/>
    </xf>
    <xf numFmtId="0" fontId="11" fillId="0" borderId="0" xfId="0" applyFont="1"/>
    <xf numFmtId="0" fontId="32" fillId="0" borderId="0" xfId="5" applyFont="1"/>
    <xf numFmtId="44" fontId="11" fillId="0" borderId="0" xfId="0" applyNumberFormat="1" applyFont="1"/>
    <xf numFmtId="0" fontId="34" fillId="0" borderId="0" xfId="5" applyFont="1"/>
    <xf numFmtId="0" fontId="17" fillId="10" borderId="14" xfId="5" applyFont="1" applyFill="1" applyBorder="1" applyAlignment="1">
      <alignment vertical="center" wrapText="1"/>
    </xf>
    <xf numFmtId="0" fontId="35" fillId="10" borderId="14" xfId="5" applyFont="1" applyFill="1" applyBorder="1" applyAlignment="1">
      <alignment vertical="center" wrapText="1"/>
    </xf>
    <xf numFmtId="0" fontId="17" fillId="11" borderId="14" xfId="5" applyFont="1" applyFill="1" applyBorder="1" applyAlignment="1">
      <alignment vertical="center" wrapText="1"/>
    </xf>
    <xf numFmtId="168" fontId="34" fillId="0" borderId="14" xfId="7" applyNumberFormat="1" applyFont="1" applyBorder="1" applyAlignment="1">
      <alignment vertical="center"/>
    </xf>
    <xf numFmtId="0" fontId="36" fillId="0" borderId="14" xfId="5" applyFont="1" applyBorder="1" applyAlignment="1">
      <alignment vertical="center" wrapText="1"/>
    </xf>
    <xf numFmtId="168" fontId="36" fillId="0" borderId="14" xfId="7" applyNumberFormat="1" applyFont="1" applyBorder="1" applyAlignment="1">
      <alignment vertical="center"/>
    </xf>
    <xf numFmtId="168" fontId="37" fillId="9" borderId="14" xfId="7" applyNumberFormat="1" applyFont="1" applyFill="1" applyBorder="1" applyAlignment="1">
      <alignment vertical="center"/>
    </xf>
    <xf numFmtId="0" fontId="37" fillId="0" borderId="0" xfId="5" applyFont="1" applyAlignment="1">
      <alignment vertical="center"/>
    </xf>
    <xf numFmtId="0" fontId="37" fillId="0" borderId="0" xfId="5" applyFont="1" applyAlignment="1"/>
    <xf numFmtId="168" fontId="34" fillId="0" borderId="0" xfId="5" applyNumberFormat="1" applyFont="1"/>
    <xf numFmtId="0" fontId="16" fillId="0" borderId="14" xfId="5" applyFont="1" applyBorder="1" applyAlignment="1">
      <alignment vertical="center" wrapText="1"/>
    </xf>
    <xf numFmtId="168" fontId="33" fillId="9" borderId="14" xfId="7" applyNumberFormat="1" applyFont="1" applyFill="1" applyBorder="1" applyAlignment="1">
      <alignment vertical="center"/>
    </xf>
    <xf numFmtId="0" fontId="15" fillId="0" borderId="0" xfId="5" applyFont="1"/>
    <xf numFmtId="44" fontId="34" fillId="0" borderId="0" xfId="5" applyNumberFormat="1" applyFont="1"/>
    <xf numFmtId="0" fontId="11" fillId="0" borderId="0" xfId="0" applyFont="1" applyAlignment="1"/>
    <xf numFmtId="0" fontId="17" fillId="0" borderId="0" xfId="0" applyFont="1"/>
    <xf numFmtId="0" fontId="30" fillId="0" borderId="0" xfId="0" applyFont="1"/>
    <xf numFmtId="0" fontId="17" fillId="5" borderId="0" xfId="0" applyFont="1" applyFill="1"/>
    <xf numFmtId="0" fontId="17" fillId="13" borderId="0" xfId="0" applyFont="1" applyFill="1"/>
    <xf numFmtId="0" fontId="10" fillId="0" borderId="0" xfId="5" applyFont="1"/>
    <xf numFmtId="0" fontId="10" fillId="0" borderId="14" xfId="5" applyFont="1" applyBorder="1" applyAlignment="1">
      <alignment vertical="center" wrapText="1"/>
    </xf>
    <xf numFmtId="2" fontId="10" fillId="0" borderId="14" xfId="5" applyNumberFormat="1" applyFont="1" applyBorder="1" applyAlignment="1">
      <alignment vertical="center" wrapText="1"/>
    </xf>
    <xf numFmtId="168" fontId="10" fillId="9" borderId="14" xfId="5" applyNumberFormat="1" applyFont="1" applyFill="1" applyBorder="1" applyAlignment="1">
      <alignment vertical="center"/>
    </xf>
    <xf numFmtId="0" fontId="10" fillId="0" borderId="0" xfId="5" applyFont="1" applyAlignment="1">
      <alignment vertical="center"/>
    </xf>
    <xf numFmtId="0" fontId="10" fillId="0" borderId="0" xfId="5" applyFont="1" applyAlignment="1"/>
    <xf numFmtId="168" fontId="10" fillId="0" borderId="0" xfId="5" applyNumberFormat="1" applyFont="1"/>
    <xf numFmtId="168" fontId="10" fillId="0" borderId="0" xfId="7" applyNumberFormat="1" applyFont="1"/>
    <xf numFmtId="44" fontId="10" fillId="0" borderId="0" xfId="5" applyNumberFormat="1" applyFont="1"/>
    <xf numFmtId="0" fontId="39" fillId="0" borderId="0" xfId="0" applyFont="1"/>
    <xf numFmtId="0" fontId="31" fillId="12" borderId="14" xfId="0" applyFont="1" applyFill="1" applyBorder="1" applyAlignment="1">
      <alignment vertical="center" wrapText="1"/>
    </xf>
    <xf numFmtId="0" fontId="10" fillId="5" borderId="14" xfId="0" applyFont="1" applyFill="1" applyBorder="1"/>
    <xf numFmtId="0" fontId="10" fillId="0" borderId="14" xfId="0" applyFont="1" applyBorder="1" applyAlignment="1"/>
    <xf numFmtId="0" fontId="11" fillId="0" borderId="14" xfId="0" applyFont="1" applyBorder="1"/>
    <xf numFmtId="0" fontId="10" fillId="0" borderId="14" xfId="0" applyFont="1" applyBorder="1"/>
    <xf numFmtId="0" fontId="10" fillId="13" borderId="14" xfId="0" applyFont="1" applyFill="1" applyBorder="1"/>
    <xf numFmtId="0" fontId="10" fillId="0" borderId="20" xfId="0" applyFont="1" applyBorder="1"/>
    <xf numFmtId="0" fontId="11" fillId="0" borderId="20" xfId="0" applyFont="1" applyBorder="1"/>
    <xf numFmtId="44" fontId="11" fillId="0" borderId="20" xfId="0" applyNumberFormat="1" applyFont="1" applyBorder="1"/>
    <xf numFmtId="0" fontId="17" fillId="0" borderId="17" xfId="0" applyFont="1" applyBorder="1"/>
    <xf numFmtId="9" fontId="11" fillId="0" borderId="20" xfId="0" applyNumberFormat="1" applyFont="1" applyBorder="1"/>
    <xf numFmtId="0" fontId="40" fillId="14" borderId="0" xfId="5" applyFont="1" applyFill="1"/>
    <xf numFmtId="0" fontId="38" fillId="14" borderId="0" xfId="5" applyFont="1" applyFill="1"/>
    <xf numFmtId="0" fontId="9" fillId="0" borderId="14" xfId="5" applyFont="1" applyBorder="1" applyAlignment="1">
      <alignment vertical="center" wrapText="1"/>
    </xf>
    <xf numFmtId="0" fontId="11" fillId="0" borderId="81" xfId="0" applyFont="1" applyBorder="1"/>
    <xf numFmtId="0" fontId="9" fillId="13" borderId="81" xfId="0" applyFont="1" applyFill="1" applyBorder="1"/>
    <xf numFmtId="0" fontId="31" fillId="3" borderId="0" xfId="0" applyFont="1" applyFill="1"/>
    <xf numFmtId="0" fontId="30" fillId="3" borderId="0" xfId="0" applyFont="1" applyFill="1"/>
    <xf numFmtId="0" fontId="34" fillId="3" borderId="0" xfId="0" applyFont="1" applyFill="1" applyAlignment="1">
      <alignment horizontal="left"/>
    </xf>
    <xf numFmtId="0" fontId="30" fillId="3" borderId="0" xfId="0" applyFont="1" applyFill="1" applyAlignment="1"/>
    <xf numFmtId="44" fontId="30" fillId="3" borderId="0" xfId="3" applyFont="1" applyFill="1" applyAlignment="1"/>
    <xf numFmtId="44" fontId="30" fillId="3" borderId="0" xfId="3" applyFont="1" applyFill="1"/>
    <xf numFmtId="0" fontId="30" fillId="3" borderId="4" xfId="0" applyFont="1" applyFill="1" applyBorder="1" applyAlignment="1">
      <alignment horizontal="right"/>
    </xf>
    <xf numFmtId="0" fontId="30" fillId="3" borderId="4" xfId="0" applyFont="1" applyFill="1" applyBorder="1"/>
    <xf numFmtId="3" fontId="30" fillId="3" borderId="0" xfId="0" applyNumberFormat="1" applyFont="1" applyFill="1"/>
    <xf numFmtId="0" fontId="11" fillId="3" borderId="0" xfId="0" applyFont="1" applyFill="1" applyAlignment="1"/>
    <xf numFmtId="0" fontId="34" fillId="3" borderId="0" xfId="0" applyFont="1" applyFill="1"/>
    <xf numFmtId="0" fontId="31" fillId="3" borderId="0" xfId="0" applyFont="1" applyFill="1" applyAlignment="1">
      <alignment vertical="center" wrapText="1"/>
    </xf>
    <xf numFmtId="0" fontId="31" fillId="3" borderId="0" xfId="0" applyFont="1" applyFill="1" applyAlignment="1">
      <alignment vertical="center"/>
    </xf>
    <xf numFmtId="44" fontId="30" fillId="3" borderId="0" xfId="0" applyNumberFormat="1" applyFont="1" applyFill="1"/>
    <xf numFmtId="44" fontId="31" fillId="3" borderId="0" xfId="0" applyNumberFormat="1" applyFont="1" applyFill="1"/>
    <xf numFmtId="0" fontId="33" fillId="0" borderId="17" xfId="0" applyFont="1" applyBorder="1"/>
    <xf numFmtId="44" fontId="33" fillId="0" borderId="17" xfId="0" applyNumberFormat="1" applyFont="1" applyBorder="1"/>
    <xf numFmtId="168" fontId="41" fillId="15" borderId="14" xfId="7" applyNumberFormat="1" applyFont="1" applyFill="1" applyBorder="1" applyAlignment="1">
      <alignment vertical="center"/>
    </xf>
    <xf numFmtId="168" fontId="42" fillId="15" borderId="14" xfId="7" applyNumberFormat="1" applyFont="1" applyFill="1" applyBorder="1" applyAlignment="1">
      <alignment vertical="center"/>
    </xf>
    <xf numFmtId="168" fontId="33" fillId="15" borderId="14" xfId="7" applyNumberFormat="1" applyFont="1" applyFill="1" applyBorder="1" applyAlignment="1">
      <alignment vertical="center"/>
    </xf>
    <xf numFmtId="0" fontId="43" fillId="5" borderId="0" xfId="5" applyFont="1" applyFill="1"/>
    <xf numFmtId="0" fontId="15" fillId="5" borderId="0" xfId="5" applyFont="1" applyFill="1"/>
    <xf numFmtId="0" fontId="10" fillId="0" borderId="14" xfId="5" applyFont="1" applyFill="1" applyBorder="1" applyAlignment="1">
      <alignment vertical="center" wrapText="1"/>
    </xf>
    <xf numFmtId="2" fontId="10" fillId="0" borderId="14" xfId="5" applyNumberFormat="1" applyFont="1" applyFill="1" applyBorder="1" applyAlignment="1">
      <alignment vertical="center" wrapText="1"/>
    </xf>
    <xf numFmtId="168" fontId="34" fillId="0" borderId="14" xfId="7" applyNumberFormat="1" applyFont="1" applyFill="1" applyBorder="1" applyAlignment="1">
      <alignment vertical="center"/>
    </xf>
    <xf numFmtId="0" fontId="10" fillId="0" borderId="0" xfId="5" applyFont="1" applyFill="1" applyAlignment="1">
      <alignment vertical="center"/>
    </xf>
    <xf numFmtId="0" fontId="10" fillId="0" borderId="0" xfId="5" applyFont="1" applyFill="1" applyAlignment="1"/>
    <xf numFmtId="168" fontId="10" fillId="15" borderId="14" xfId="7" applyNumberFormat="1" applyFont="1" applyFill="1" applyBorder="1" applyAlignment="1">
      <alignment vertical="center"/>
    </xf>
    <xf numFmtId="168" fontId="37" fillId="15" borderId="14" xfId="7" applyNumberFormat="1" applyFont="1" applyFill="1" applyBorder="1" applyAlignment="1">
      <alignment vertical="center"/>
    </xf>
    <xf numFmtId="168" fontId="10" fillId="15" borderId="0" xfId="5" applyNumberFormat="1" applyFont="1" applyFill="1"/>
    <xf numFmtId="0" fontId="31" fillId="15" borderId="14" xfId="0" applyFont="1" applyFill="1" applyBorder="1" applyAlignment="1">
      <alignment horizontal="left" vertical="center"/>
    </xf>
    <xf numFmtId="44" fontId="9" fillId="15" borderId="14" xfId="0" applyNumberFormat="1" applyFont="1" applyFill="1" applyBorder="1"/>
    <xf numFmtId="44" fontId="9" fillId="15" borderId="20" xfId="0" applyNumberFormat="1" applyFont="1" applyFill="1" applyBorder="1"/>
    <xf numFmtId="44" fontId="33" fillId="15" borderId="17" xfId="0" applyNumberFormat="1" applyFont="1" applyFill="1" applyBorder="1"/>
    <xf numFmtId="0" fontId="31" fillId="9" borderId="14" xfId="0" applyFont="1" applyFill="1" applyBorder="1" applyAlignment="1">
      <alignment horizontal="left" vertical="center"/>
    </xf>
    <xf numFmtId="44" fontId="11" fillId="9" borderId="14" xfId="0" applyNumberFormat="1" applyFont="1" applyFill="1" applyBorder="1"/>
    <xf numFmtId="44" fontId="11" fillId="9" borderId="81" xfId="0" applyNumberFormat="1" applyFont="1" applyFill="1" applyBorder="1"/>
    <xf numFmtId="44" fontId="11" fillId="9" borderId="20" xfId="0" applyNumberFormat="1" applyFont="1" applyFill="1" applyBorder="1"/>
    <xf numFmtId="0" fontId="11" fillId="0" borderId="14" xfId="0" applyFont="1" applyFill="1" applyBorder="1"/>
    <xf numFmtId="0" fontId="44" fillId="0" borderId="14" xfId="5" applyFont="1" applyBorder="1" applyAlignment="1">
      <alignment vertical="center" wrapText="1"/>
    </xf>
    <xf numFmtId="168" fontId="44" fillId="0" borderId="14" xfId="7" applyNumberFormat="1" applyFont="1" applyBorder="1" applyAlignment="1">
      <alignment vertical="center"/>
    </xf>
    <xf numFmtId="168" fontId="42" fillId="9" borderId="14" xfId="7" applyNumberFormat="1" applyFont="1" applyFill="1" applyBorder="1" applyAlignment="1">
      <alignment vertical="center"/>
    </xf>
    <xf numFmtId="0" fontId="42" fillId="0" borderId="0" xfId="5" applyFont="1" applyAlignment="1">
      <alignment vertical="center"/>
    </xf>
    <xf numFmtId="0" fontId="42" fillId="0" borderId="0" xfId="5" applyFont="1" applyAlignment="1"/>
    <xf numFmtId="2" fontId="44" fillId="0" borderId="14" xfId="5" applyNumberFormat="1" applyFont="1" applyBorder="1" applyAlignment="1">
      <alignment vertical="center" wrapText="1"/>
    </xf>
    <xf numFmtId="168" fontId="44" fillId="0" borderId="14" xfId="3" applyNumberFormat="1" applyFont="1" applyBorder="1" applyAlignment="1">
      <alignment vertical="center" wrapText="1"/>
    </xf>
    <xf numFmtId="0" fontId="31" fillId="12" borderId="14" xfId="0" applyFont="1" applyFill="1" applyBorder="1" applyAlignment="1">
      <alignment horizontal="left" vertical="center" wrapText="1"/>
    </xf>
    <xf numFmtId="0" fontId="8" fillId="0" borderId="0" xfId="5" applyFont="1"/>
    <xf numFmtId="2" fontId="16" fillId="0" borderId="14" xfId="5" applyNumberFormat="1" applyFont="1" applyBorder="1" applyAlignment="1">
      <alignment vertical="center" wrapText="1"/>
    </xf>
    <xf numFmtId="0" fontId="8" fillId="0" borderId="14" xfId="5" applyFont="1" applyFill="1" applyBorder="1" applyAlignment="1">
      <alignment vertical="center" wrapText="1"/>
    </xf>
    <xf numFmtId="0" fontId="8" fillId="0" borderId="14" xfId="0" applyFont="1" applyFill="1" applyBorder="1"/>
    <xf numFmtId="0" fontId="31" fillId="12" borderId="14" xfId="0" applyFont="1" applyFill="1" applyBorder="1" applyAlignment="1">
      <alignment horizontal="left" vertical="center"/>
    </xf>
    <xf numFmtId="0" fontId="17" fillId="0" borderId="14" xfId="0" applyFont="1" applyBorder="1"/>
    <xf numFmtId="0" fontId="10" fillId="13" borderId="79" xfId="0" applyFont="1" applyFill="1" applyBorder="1"/>
    <xf numFmtId="0" fontId="31" fillId="12" borderId="81" xfId="0" applyFont="1" applyFill="1" applyBorder="1" applyAlignment="1">
      <alignment horizontal="left" vertical="center" wrapText="1"/>
    </xf>
    <xf numFmtId="0" fontId="10" fillId="0" borderId="17" xfId="0" applyFont="1" applyBorder="1"/>
    <xf numFmtId="0" fontId="10" fillId="0" borderId="17" xfId="0" applyFont="1" applyBorder="1" applyAlignment="1"/>
    <xf numFmtId="0" fontId="11" fillId="0" borderId="17" xfId="0" applyFont="1" applyBorder="1"/>
    <xf numFmtId="0" fontId="31" fillId="0" borderId="79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61" xfId="0" applyFont="1" applyFill="1" applyBorder="1" applyAlignment="1">
      <alignment vertical="center" wrapText="1"/>
    </xf>
    <xf numFmtId="0" fontId="7" fillId="0" borderId="14" xfId="5" applyFont="1" applyBorder="1" applyAlignment="1">
      <alignment vertical="center" wrapText="1"/>
    </xf>
    <xf numFmtId="0" fontId="17" fillId="10" borderId="79" xfId="5" applyFont="1" applyFill="1" applyBorder="1" applyAlignment="1">
      <alignment vertical="center" wrapText="1"/>
    </xf>
    <xf numFmtId="0" fontId="10" fillId="0" borderId="14" xfId="5" applyFont="1" applyBorder="1" applyAlignment="1">
      <alignment vertical="center"/>
    </xf>
    <xf numFmtId="0" fontId="42" fillId="0" borderId="14" xfId="5" applyFont="1" applyBorder="1" applyAlignment="1">
      <alignment vertical="center" wrapText="1"/>
    </xf>
    <xf numFmtId="2" fontId="42" fillId="0" borderId="14" xfId="5" applyNumberFormat="1" applyFont="1" applyBorder="1" applyAlignment="1">
      <alignment vertical="center" wrapText="1"/>
    </xf>
    <xf numFmtId="0" fontId="10" fillId="0" borderId="1" xfId="5" applyFont="1" applyBorder="1" applyAlignment="1"/>
    <xf numFmtId="0" fontId="10" fillId="0" borderId="61" xfId="5" applyFont="1" applyBorder="1" applyAlignment="1"/>
    <xf numFmtId="0" fontId="31" fillId="12" borderId="14" xfId="0" applyFont="1" applyFill="1" applyBorder="1" applyAlignment="1">
      <alignment vertical="center"/>
    </xf>
    <xf numFmtId="44" fontId="7" fillId="9" borderId="14" xfId="0" applyNumberFormat="1" applyFont="1" applyFill="1" applyBorder="1"/>
    <xf numFmtId="0" fontId="45" fillId="0" borderId="14" xfId="0" applyFont="1" applyBorder="1" applyAlignment="1">
      <alignment vertical="center"/>
    </xf>
    <xf numFmtId="0" fontId="45" fillId="0" borderId="0" xfId="0" applyFont="1" applyAlignment="1">
      <alignment vertical="center"/>
    </xf>
    <xf numFmtId="44" fontId="16" fillId="9" borderId="17" xfId="0" applyNumberFormat="1" applyFont="1" applyFill="1" applyBorder="1"/>
    <xf numFmtId="0" fontId="6" fillId="0" borderId="14" xfId="0" applyFont="1" applyBorder="1"/>
    <xf numFmtId="2" fontId="36" fillId="0" borderId="14" xfId="5" applyNumberFormat="1" applyFont="1" applyBorder="1" applyAlignment="1">
      <alignment vertical="center" wrapText="1"/>
    </xf>
    <xf numFmtId="0" fontId="39" fillId="14" borderId="0" xfId="0" applyFont="1" applyFill="1"/>
    <xf numFmtId="44" fontId="11" fillId="3" borderId="0" xfId="3" applyFont="1" applyFill="1" applyAlignment="1"/>
    <xf numFmtId="0" fontId="43" fillId="13" borderId="0" xfId="5" applyFont="1" applyFill="1"/>
    <xf numFmtId="0" fontId="15" fillId="13" borderId="0" xfId="5" applyFont="1" applyFill="1"/>
    <xf numFmtId="44" fontId="17" fillId="15" borderId="14" xfId="0" applyNumberFormat="1" applyFont="1" applyFill="1" applyBorder="1"/>
    <xf numFmtId="44" fontId="17" fillId="9" borderId="14" xfId="0" applyNumberFormat="1" applyFont="1" applyFill="1" applyBorder="1"/>
    <xf numFmtId="0" fontId="17" fillId="16" borderId="0" xfId="0" applyFont="1" applyFill="1"/>
    <xf numFmtId="0" fontId="5" fillId="0" borderId="0" xfId="5" applyFont="1"/>
    <xf numFmtId="0" fontId="17" fillId="0" borderId="0" xfId="5" applyFont="1"/>
    <xf numFmtId="0" fontId="31" fillId="12" borderId="14" xfId="0" applyFont="1" applyFill="1" applyBorder="1" applyAlignment="1">
      <alignment horizontal="left" vertical="center" wrapText="1"/>
    </xf>
    <xf numFmtId="0" fontId="4" fillId="0" borderId="20" xfId="0" applyFont="1" applyBorder="1"/>
    <xf numFmtId="0" fontId="16" fillId="0" borderId="17" xfId="0" applyFont="1" applyBorder="1"/>
    <xf numFmtId="44" fontId="16" fillId="15" borderId="17" xfId="0" applyNumberFormat="1" applyFont="1" applyFill="1" applyBorder="1"/>
    <xf numFmtId="44" fontId="33" fillId="9" borderId="17" xfId="0" applyNumberFormat="1" applyFont="1" applyFill="1" applyBorder="1"/>
    <xf numFmtId="0" fontId="3" fillId="0" borderId="14" xfId="0" applyFont="1" applyBorder="1"/>
    <xf numFmtId="0" fontId="3" fillId="0" borderId="17" xfId="0" applyFont="1" applyBorder="1"/>
    <xf numFmtId="0" fontId="33" fillId="0" borderId="14" xfId="0" applyFont="1" applyBorder="1"/>
    <xf numFmtId="44" fontId="33" fillId="9" borderId="14" xfId="0" applyNumberFormat="1" applyFont="1" applyFill="1" applyBorder="1"/>
    <xf numFmtId="44" fontId="41" fillId="15" borderId="14" xfId="0" applyNumberFormat="1" applyFont="1" applyFill="1" applyBorder="1"/>
    <xf numFmtId="44" fontId="41" fillId="9" borderId="14" xfId="0" applyNumberFormat="1" applyFont="1" applyFill="1" applyBorder="1"/>
    <xf numFmtId="0" fontId="2" fillId="0" borderId="0" xfId="5" applyFont="1"/>
    <xf numFmtId="0" fontId="28" fillId="0" borderId="0" xfId="0" applyFont="1" applyAlignment="1">
      <alignment vertical="center"/>
    </xf>
    <xf numFmtId="0" fontId="50" fillId="0" borderId="75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50" fillId="10" borderId="26" xfId="0" applyFont="1" applyFill="1" applyBorder="1" applyAlignment="1">
      <alignment horizontal="right" vertical="center" wrapText="1"/>
    </xf>
    <xf numFmtId="0" fontId="50" fillId="10" borderId="84" xfId="0" applyFont="1" applyFill="1" applyBorder="1" applyAlignment="1">
      <alignment horizontal="right" vertical="center" wrapText="1"/>
    </xf>
    <xf numFmtId="0" fontId="50" fillId="0" borderId="29" xfId="0" applyFont="1" applyBorder="1" applyAlignment="1">
      <alignment vertical="center" wrapText="1"/>
    </xf>
    <xf numFmtId="0" fontId="49" fillId="0" borderId="85" xfId="0" applyFont="1" applyBorder="1" applyAlignment="1">
      <alignment horizontal="right" vertical="center" wrapText="1"/>
    </xf>
    <xf numFmtId="0" fontId="28" fillId="0" borderId="28" xfId="0" applyFont="1" applyBorder="1" applyAlignment="1">
      <alignment vertical="center" wrapText="1"/>
    </xf>
    <xf numFmtId="0" fontId="48" fillId="0" borderId="29" xfId="0" applyFont="1" applyBorder="1" applyAlignment="1">
      <alignment vertical="center" wrapText="1"/>
    </xf>
    <xf numFmtId="0" fontId="50" fillId="0" borderId="86" xfId="0" applyFont="1" applyBorder="1" applyAlignment="1">
      <alignment vertical="center" wrapText="1"/>
    </xf>
    <xf numFmtId="0" fontId="51" fillId="0" borderId="85" xfId="0" applyFont="1" applyBorder="1" applyAlignment="1">
      <alignment horizontal="right" vertical="center" wrapText="1"/>
    </xf>
    <xf numFmtId="0" fontId="28" fillId="0" borderId="87" xfId="0" applyFont="1" applyBorder="1" applyAlignment="1">
      <alignment vertical="center" wrapText="1"/>
    </xf>
    <xf numFmtId="0" fontId="48" fillId="0" borderId="86" xfId="0" applyFont="1" applyBorder="1" applyAlignment="1">
      <alignment vertical="center" wrapText="1"/>
    </xf>
    <xf numFmtId="0" fontId="50" fillId="10" borderId="86" xfId="0" applyFont="1" applyFill="1" applyBorder="1" applyAlignment="1">
      <alignment vertical="center" wrapText="1"/>
    </xf>
    <xf numFmtId="3" fontId="50" fillId="10" borderId="85" xfId="0" applyNumberFormat="1" applyFont="1" applyFill="1" applyBorder="1" applyAlignment="1">
      <alignment horizontal="right" vertical="center" wrapText="1"/>
    </xf>
    <xf numFmtId="0" fontId="50" fillId="10" borderId="88" xfId="0" applyFont="1" applyFill="1" applyBorder="1" applyAlignment="1">
      <alignment vertical="center" wrapText="1"/>
    </xf>
    <xf numFmtId="3" fontId="50" fillId="10" borderId="89" xfId="0" applyNumberFormat="1" applyFont="1" applyFill="1" applyBorder="1" applyAlignment="1">
      <alignment horizontal="right" vertical="center" wrapText="1"/>
    </xf>
    <xf numFmtId="3" fontId="50" fillId="0" borderId="26" xfId="0" applyNumberFormat="1" applyFont="1" applyBorder="1" applyAlignment="1">
      <alignment horizontal="right" vertical="center" wrapText="1"/>
    </xf>
    <xf numFmtId="164" fontId="16" fillId="5" borderId="8" xfId="0" applyNumberFormat="1" applyFont="1" applyFill="1" applyBorder="1" applyAlignment="1">
      <alignment horizontal="right" vertical="top"/>
    </xf>
    <xf numFmtId="164" fontId="16" fillId="5" borderId="9" xfId="0" applyNumberFormat="1" applyFont="1" applyFill="1" applyBorder="1" applyAlignment="1">
      <alignment horizontal="right" vertical="top"/>
    </xf>
    <xf numFmtId="164" fontId="15" fillId="5" borderId="59" xfId="0" applyNumberFormat="1" applyFont="1" applyFill="1" applyBorder="1" applyAlignment="1">
      <alignment horizontal="left"/>
    </xf>
    <xf numFmtId="164" fontId="15" fillId="5" borderId="60" xfId="0" applyNumberFormat="1" applyFont="1" applyFill="1" applyBorder="1" applyAlignment="1">
      <alignment horizontal="left"/>
    </xf>
    <xf numFmtId="164" fontId="15" fillId="5" borderId="67" xfId="0" applyNumberFormat="1" applyFont="1" applyFill="1" applyBorder="1" applyAlignment="1">
      <alignment horizontal="left"/>
    </xf>
    <xf numFmtId="164" fontId="15" fillId="5" borderId="49" xfId="0" applyNumberFormat="1" applyFont="1" applyFill="1" applyBorder="1" applyAlignment="1">
      <alignment horizontal="left"/>
    </xf>
    <xf numFmtId="164" fontId="15" fillId="5" borderId="3" xfId="0" applyNumberFormat="1" applyFont="1" applyFill="1" applyBorder="1" applyAlignment="1">
      <alignment horizontal="left"/>
    </xf>
    <xf numFmtId="164" fontId="15" fillId="5" borderId="68" xfId="0" applyNumberFormat="1" applyFont="1" applyFill="1" applyBorder="1" applyAlignment="1">
      <alignment horizontal="left"/>
    </xf>
    <xf numFmtId="164" fontId="15" fillId="5" borderId="48" xfId="0" applyNumberFormat="1" applyFont="1" applyFill="1" applyBorder="1" applyAlignment="1">
      <alignment horizontal="left"/>
    </xf>
    <xf numFmtId="164" fontId="15" fillId="5" borderId="1" xfId="0" applyNumberFormat="1" applyFont="1" applyFill="1" applyBorder="1" applyAlignment="1">
      <alignment horizontal="left"/>
    </xf>
    <xf numFmtId="164" fontId="15" fillId="5" borderId="65" xfId="0" applyNumberFormat="1" applyFont="1" applyFill="1" applyBorder="1" applyAlignment="1">
      <alignment horizontal="left"/>
    </xf>
    <xf numFmtId="164" fontId="16" fillId="5" borderId="8" xfId="0" applyNumberFormat="1" applyFont="1" applyFill="1" applyBorder="1" applyAlignment="1">
      <alignment horizontal="left"/>
    </xf>
    <xf numFmtId="164" fontId="16" fillId="5" borderId="9" xfId="0" applyNumberFormat="1" applyFont="1" applyFill="1" applyBorder="1" applyAlignment="1">
      <alignment horizontal="left"/>
    </xf>
    <xf numFmtId="0" fontId="15" fillId="0" borderId="57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17" fillId="2" borderId="8" xfId="0" applyFont="1" applyFill="1" applyBorder="1" applyAlignment="1">
      <alignment horizontal="left" vertical="top"/>
    </xf>
    <xf numFmtId="0" fontId="17" fillId="2" borderId="9" xfId="0" applyFont="1" applyFill="1" applyBorder="1" applyAlignment="1">
      <alignment horizontal="left" vertical="top"/>
    </xf>
    <xf numFmtId="0" fontId="15" fillId="0" borderId="48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64" fontId="16" fillId="5" borderId="32" xfId="0" applyNumberFormat="1" applyFont="1" applyFill="1" applyBorder="1" applyAlignment="1">
      <alignment horizontal="left"/>
    </xf>
    <xf numFmtId="0" fontId="16" fillId="2" borderId="9" xfId="0" applyFont="1" applyFill="1" applyBorder="1" applyAlignment="1">
      <alignment horizontal="left" vertical="top"/>
    </xf>
    <xf numFmtId="0" fontId="16" fillId="2" borderId="10" xfId="0" applyFont="1" applyFill="1" applyBorder="1" applyAlignment="1">
      <alignment horizontal="left" vertical="top"/>
    </xf>
    <xf numFmtId="164" fontId="16" fillId="5" borderId="52" xfId="0" applyNumberFormat="1" applyFont="1" applyFill="1" applyBorder="1" applyAlignment="1">
      <alignment horizontal="right" vertical="top"/>
    </xf>
    <xf numFmtId="164" fontId="16" fillId="5" borderId="11" xfId="0" applyNumberFormat="1" applyFont="1" applyFill="1" applyBorder="1" applyAlignment="1">
      <alignment horizontal="right" vertical="top"/>
    </xf>
    <xf numFmtId="164" fontId="16" fillId="5" borderId="63" xfId="0" applyNumberFormat="1" applyFont="1" applyFill="1" applyBorder="1" applyAlignment="1">
      <alignment horizontal="right" vertical="top"/>
    </xf>
    <xf numFmtId="0" fontId="16" fillId="4" borderId="32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horizontal="left" vertical="top"/>
    </xf>
    <xf numFmtId="166" fontId="16" fillId="5" borderId="9" xfId="0" applyNumberFormat="1" applyFont="1" applyFill="1" applyBorder="1" applyAlignment="1">
      <alignment horizontal="left"/>
    </xf>
    <xf numFmtId="164" fontId="16" fillId="5" borderId="34" xfId="0" applyNumberFormat="1" applyFont="1" applyFill="1" applyBorder="1" applyAlignment="1">
      <alignment horizontal="left"/>
    </xf>
    <xf numFmtId="164" fontId="16" fillId="5" borderId="39" xfId="0" applyNumberFormat="1" applyFont="1" applyFill="1" applyBorder="1" applyAlignment="1">
      <alignment horizontal="left"/>
    </xf>
    <xf numFmtId="164" fontId="16" fillId="5" borderId="40" xfId="0" applyNumberFormat="1" applyFont="1" applyFill="1" applyBorder="1" applyAlignment="1">
      <alignment horizontal="left"/>
    </xf>
    <xf numFmtId="166" fontId="16" fillId="5" borderId="32" xfId="0" applyNumberFormat="1" applyFont="1" applyFill="1" applyBorder="1" applyAlignment="1">
      <alignment horizontal="left"/>
    </xf>
    <xf numFmtId="0" fontId="16" fillId="0" borderId="21" xfId="0" applyFont="1" applyFill="1" applyBorder="1" applyAlignment="1">
      <alignment vertical="top" wrapText="1"/>
    </xf>
    <xf numFmtId="0" fontId="16" fillId="0" borderId="23" xfId="0" applyFont="1" applyFill="1" applyBorder="1" applyAlignment="1">
      <alignment vertical="top" wrapText="1"/>
    </xf>
    <xf numFmtId="0" fontId="16" fillId="0" borderId="25" xfId="0" applyFont="1" applyFill="1" applyBorder="1" applyAlignment="1">
      <alignment vertical="top" wrapText="1"/>
    </xf>
    <xf numFmtId="0" fontId="16" fillId="0" borderId="26" xfId="0" applyFont="1" applyFill="1" applyBorder="1" applyAlignment="1">
      <alignment vertical="top" wrapText="1"/>
    </xf>
    <xf numFmtId="0" fontId="17" fillId="0" borderId="35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5" fillId="0" borderId="65" xfId="0" applyFont="1" applyBorder="1" applyAlignment="1">
      <alignment horizontal="left" vertical="top" wrapText="1"/>
    </xf>
    <xf numFmtId="164" fontId="16" fillId="5" borderId="10" xfId="0" applyNumberFormat="1" applyFont="1" applyFill="1" applyBorder="1" applyAlignment="1">
      <alignment horizontal="left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58" xfId="0" applyFont="1" applyBorder="1" applyAlignment="1">
      <alignment horizontal="left" vertical="top" wrapText="1"/>
    </xf>
    <xf numFmtId="164" fontId="16" fillId="5" borderId="25" xfId="0" applyNumberFormat="1" applyFont="1" applyFill="1" applyBorder="1" applyAlignment="1">
      <alignment horizontal="left"/>
    </xf>
    <xf numFmtId="164" fontId="16" fillId="5" borderId="26" xfId="0" applyNumberFormat="1" applyFont="1" applyFill="1" applyBorder="1" applyAlignment="1">
      <alignment horizontal="left"/>
    </xf>
    <xf numFmtId="166" fontId="16" fillId="5" borderId="0" xfId="0" applyNumberFormat="1" applyFont="1" applyFill="1" applyBorder="1" applyAlignment="1">
      <alignment horizontal="left"/>
    </xf>
    <xf numFmtId="0" fontId="16" fillId="2" borderId="22" xfId="0" applyFont="1" applyFill="1" applyBorder="1" applyAlignment="1">
      <alignment horizontal="left" vertical="top"/>
    </xf>
    <xf numFmtId="0" fontId="16" fillId="2" borderId="23" xfId="0" applyFont="1" applyFill="1" applyBorder="1" applyAlignment="1">
      <alignment horizontal="left" vertical="top"/>
    </xf>
    <xf numFmtId="0" fontId="16" fillId="0" borderId="5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0" borderId="13" xfId="0" applyFont="1" applyFill="1" applyBorder="1" applyAlignment="1">
      <alignment horizontal="left" vertical="top" wrapText="1"/>
    </xf>
    <xf numFmtId="0" fontId="15" fillId="0" borderId="48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horizontal="left" vertical="top"/>
    </xf>
    <xf numFmtId="0" fontId="15" fillId="0" borderId="65" xfId="0" applyFont="1" applyFill="1" applyBorder="1" applyAlignment="1">
      <alignment horizontal="left" vertical="top"/>
    </xf>
    <xf numFmtId="0" fontId="12" fillId="0" borderId="49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/>
    </xf>
    <xf numFmtId="0" fontId="16" fillId="0" borderId="52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8" fillId="3" borderId="48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65" xfId="0" applyFont="1" applyFill="1" applyBorder="1" applyAlignment="1">
      <alignment horizontal="left" vertical="top" wrapText="1"/>
    </xf>
    <xf numFmtId="0" fontId="17" fillId="0" borderId="59" xfId="0" applyFont="1" applyFill="1" applyBorder="1" applyAlignment="1">
      <alignment horizontal="left" vertical="top" wrapText="1"/>
    </xf>
    <xf numFmtId="0" fontId="17" fillId="0" borderId="60" xfId="0" applyFont="1" applyFill="1" applyBorder="1" applyAlignment="1">
      <alignment horizontal="left" vertical="top" wrapText="1"/>
    </xf>
    <xf numFmtId="0" fontId="24" fillId="0" borderId="32" xfId="0" applyFont="1" applyBorder="1" applyAlignment="1">
      <alignment horizontal="left"/>
    </xf>
    <xf numFmtId="0" fontId="24" fillId="0" borderId="26" xfId="0" applyFont="1" applyBorder="1" applyAlignment="1">
      <alignment horizontal="left"/>
    </xf>
    <xf numFmtId="164" fontId="16" fillId="5" borderId="8" xfId="0" applyNumberFormat="1" applyFont="1" applyFill="1" applyBorder="1" applyAlignment="1">
      <alignment horizontal="center" wrapText="1"/>
    </xf>
    <xf numFmtId="164" fontId="16" fillId="5" borderId="9" xfId="0" applyNumberFormat="1" applyFont="1" applyFill="1" applyBorder="1" applyAlignment="1">
      <alignment horizontal="center" wrapText="1"/>
    </xf>
    <xf numFmtId="164" fontId="16" fillId="5" borderId="10" xfId="0" applyNumberFormat="1" applyFont="1" applyFill="1" applyBorder="1" applyAlignment="1">
      <alignment horizontal="center" wrapText="1"/>
    </xf>
    <xf numFmtId="44" fontId="16" fillId="4" borderId="52" xfId="3" applyNumberFormat="1" applyFont="1" applyFill="1" applyBorder="1" applyAlignment="1">
      <alignment horizontal="center" vertical="top"/>
    </xf>
    <xf numFmtId="44" fontId="16" fillId="4" borderId="11" xfId="3" applyNumberFormat="1" applyFont="1" applyFill="1" applyBorder="1" applyAlignment="1">
      <alignment horizontal="center" vertical="top"/>
    </xf>
    <xf numFmtId="44" fontId="16" fillId="4" borderId="63" xfId="3" applyNumberFormat="1" applyFont="1" applyFill="1" applyBorder="1" applyAlignment="1">
      <alignment horizontal="center" vertical="top"/>
    </xf>
    <xf numFmtId="0" fontId="17" fillId="10" borderId="14" xfId="5" applyFont="1" applyFill="1" applyBorder="1" applyAlignment="1">
      <alignment horizontal="center" vertical="center" wrapText="1"/>
    </xf>
    <xf numFmtId="0" fontId="17" fillId="15" borderId="14" xfId="5" applyFont="1" applyFill="1" applyBorder="1" applyAlignment="1">
      <alignment horizontal="center"/>
    </xf>
    <xf numFmtId="0" fontId="44" fillId="0" borderId="79" xfId="5" applyFont="1" applyBorder="1" applyAlignment="1">
      <alignment horizontal="right" vertical="center" wrapText="1"/>
    </xf>
    <xf numFmtId="0" fontId="44" fillId="0" borderId="1" xfId="5" applyFont="1" applyBorder="1" applyAlignment="1">
      <alignment horizontal="right" vertical="center" wrapText="1"/>
    </xf>
    <xf numFmtId="0" fontId="44" fillId="0" borderId="61" xfId="5" applyFont="1" applyBorder="1" applyAlignment="1">
      <alignment horizontal="right" vertical="center" wrapText="1"/>
    </xf>
    <xf numFmtId="0" fontId="33" fillId="0" borderId="79" xfId="5" applyFont="1" applyBorder="1" applyAlignment="1">
      <alignment horizontal="right" vertical="center" wrapText="1"/>
    </xf>
    <xf numFmtId="0" fontId="33" fillId="0" borderId="1" xfId="5" applyFont="1" applyBorder="1" applyAlignment="1">
      <alignment horizontal="right" vertical="center" wrapText="1"/>
    </xf>
    <xf numFmtId="0" fontId="33" fillId="0" borderId="61" xfId="5" applyFont="1" applyBorder="1" applyAlignment="1">
      <alignment horizontal="right" vertical="center" wrapText="1"/>
    </xf>
    <xf numFmtId="0" fontId="17" fillId="11" borderId="79" xfId="5" applyFont="1" applyFill="1" applyBorder="1" applyAlignment="1">
      <alignment horizontal="left" vertical="center" wrapText="1"/>
    </xf>
    <xf numFmtId="0" fontId="17" fillId="11" borderId="1" xfId="5" applyFont="1" applyFill="1" applyBorder="1" applyAlignment="1">
      <alignment horizontal="left" vertical="center" wrapText="1"/>
    </xf>
    <xf numFmtId="0" fontId="17" fillId="11" borderId="61" xfId="5" applyFont="1" applyFill="1" applyBorder="1" applyAlignment="1">
      <alignment horizontal="left" vertical="center" wrapText="1"/>
    </xf>
    <xf numFmtId="0" fontId="17" fillId="9" borderId="4" xfId="5" applyFont="1" applyFill="1" applyBorder="1" applyAlignment="1">
      <alignment horizontal="center"/>
    </xf>
    <xf numFmtId="0" fontId="17" fillId="9" borderId="30" xfId="5" applyFont="1" applyFill="1" applyBorder="1" applyAlignment="1">
      <alignment horizontal="center"/>
    </xf>
    <xf numFmtId="0" fontId="10" fillId="0" borderId="79" xfId="5" applyFont="1" applyBorder="1" applyAlignment="1">
      <alignment horizontal="center"/>
    </xf>
    <xf numFmtId="0" fontId="10" fillId="0" borderId="1" xfId="5" applyFont="1" applyBorder="1" applyAlignment="1">
      <alignment horizontal="center"/>
    </xf>
    <xf numFmtId="0" fontId="10" fillId="0" borderId="61" xfId="5" applyFont="1" applyBorder="1" applyAlignment="1">
      <alignment horizontal="center"/>
    </xf>
    <xf numFmtId="0" fontId="45" fillId="12" borderId="82" xfId="5" applyFont="1" applyFill="1" applyBorder="1" applyAlignment="1">
      <alignment horizontal="center" vertical="center" wrapText="1"/>
    </xf>
    <xf numFmtId="0" fontId="45" fillId="12" borderId="74" xfId="5" applyFont="1" applyFill="1" applyBorder="1" applyAlignment="1">
      <alignment horizontal="center" vertical="center" wrapText="1"/>
    </xf>
    <xf numFmtId="0" fontId="45" fillId="12" borderId="14" xfId="5" applyFont="1" applyFill="1" applyBorder="1" applyAlignment="1">
      <alignment horizontal="center" vertical="center" wrapText="1"/>
    </xf>
    <xf numFmtId="0" fontId="45" fillId="12" borderId="79" xfId="5" applyFont="1" applyFill="1" applyBorder="1" applyAlignment="1">
      <alignment horizontal="center" vertical="center" wrapText="1"/>
    </xf>
    <xf numFmtId="0" fontId="45" fillId="12" borderId="61" xfId="5" applyFont="1" applyFill="1" applyBorder="1" applyAlignment="1">
      <alignment horizontal="center" vertical="center" wrapText="1"/>
    </xf>
    <xf numFmtId="0" fontId="36" fillId="0" borderId="79" xfId="5" applyFont="1" applyBorder="1" applyAlignment="1">
      <alignment horizontal="right" vertical="center" wrapText="1"/>
    </xf>
    <xf numFmtId="0" fontId="36" fillId="0" borderId="1" xfId="5" applyFont="1" applyBorder="1" applyAlignment="1">
      <alignment horizontal="right" vertical="center" wrapText="1"/>
    </xf>
    <xf numFmtId="0" fontId="36" fillId="0" borderId="61" xfId="5" applyFont="1" applyBorder="1" applyAlignment="1">
      <alignment horizontal="right" vertical="center" wrapText="1"/>
    </xf>
    <xf numFmtId="0" fontId="17" fillId="10" borderId="79" xfId="5" applyFont="1" applyFill="1" applyBorder="1" applyAlignment="1">
      <alignment horizontal="center" vertical="center" wrapText="1"/>
    </xf>
    <xf numFmtId="0" fontId="17" fillId="10" borderId="1" xfId="5" applyFont="1" applyFill="1" applyBorder="1" applyAlignment="1">
      <alignment horizontal="center" vertical="center" wrapText="1"/>
    </xf>
    <xf numFmtId="0" fontId="17" fillId="10" borderId="61" xfId="5" applyFont="1" applyFill="1" applyBorder="1" applyAlignment="1">
      <alignment horizontal="center" vertical="center" wrapText="1"/>
    </xf>
    <xf numFmtId="0" fontId="17" fillId="9" borderId="14" xfId="5" applyFont="1" applyFill="1" applyBorder="1" applyAlignment="1">
      <alignment horizontal="center"/>
    </xf>
    <xf numFmtId="0" fontId="17" fillId="0" borderId="79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17" fillId="0" borderId="61" xfId="0" applyFont="1" applyFill="1" applyBorder="1" applyAlignment="1">
      <alignment horizontal="left"/>
    </xf>
    <xf numFmtId="0" fontId="33" fillId="0" borderId="80" xfId="0" applyFont="1" applyBorder="1" applyAlignment="1">
      <alignment horizontal="left"/>
    </xf>
    <xf numFmtId="0" fontId="33" fillId="0" borderId="4" xfId="0" applyFont="1" applyBorder="1" applyAlignment="1">
      <alignment horizontal="left"/>
    </xf>
    <xf numFmtId="0" fontId="33" fillId="0" borderId="30" xfId="0" applyFont="1" applyBorder="1" applyAlignment="1">
      <alignment horizontal="left"/>
    </xf>
    <xf numFmtId="0" fontId="45" fillId="0" borderId="79" xfId="5" applyFont="1" applyBorder="1" applyAlignment="1">
      <alignment horizontal="center" wrapText="1"/>
    </xf>
    <xf numFmtId="0" fontId="45" fillId="0" borderId="61" xfId="5" applyFont="1" applyBorder="1" applyAlignment="1">
      <alignment horizontal="center" wrapText="1"/>
    </xf>
    <xf numFmtId="0" fontId="45" fillId="0" borderId="79" xfId="5" applyFont="1" applyBorder="1" applyAlignment="1">
      <alignment horizontal="center" vertical="center" wrapText="1"/>
    </xf>
    <xf numFmtId="0" fontId="45" fillId="0" borderId="61" xfId="5" applyFont="1" applyBorder="1" applyAlignment="1">
      <alignment horizontal="center" vertical="center" wrapText="1"/>
    </xf>
    <xf numFmtId="0" fontId="31" fillId="12" borderId="81" xfId="0" applyFont="1" applyFill="1" applyBorder="1" applyAlignment="1">
      <alignment horizontal="left" vertical="center" wrapText="1"/>
    </xf>
    <xf numFmtId="0" fontId="9" fillId="0" borderId="79" xfId="0" applyFont="1" applyBorder="1" applyAlignment="1">
      <alignment horizontal="left"/>
    </xf>
    <xf numFmtId="0" fontId="10" fillId="0" borderId="61" xfId="0" applyFont="1" applyBorder="1" applyAlignment="1">
      <alignment horizontal="left"/>
    </xf>
    <xf numFmtId="0" fontId="31" fillId="12" borderId="14" xfId="0" applyFont="1" applyFill="1" applyBorder="1" applyAlignment="1">
      <alignment horizontal="left" vertical="center" wrapText="1"/>
    </xf>
    <xf numFmtId="0" fontId="50" fillId="10" borderId="90" xfId="0" applyFont="1" applyFill="1" applyBorder="1" applyAlignment="1">
      <alignment horizontal="center" vertical="center" wrapText="1"/>
    </xf>
    <xf numFmtId="0" fontId="50" fillId="10" borderId="83" xfId="0" applyFont="1" applyFill="1" applyBorder="1" applyAlignment="1">
      <alignment horizontal="center" vertical="center" wrapText="1"/>
    </xf>
    <xf numFmtId="3" fontId="28" fillId="0" borderId="91" xfId="0" applyNumberFormat="1" applyFont="1" applyBorder="1" applyAlignment="1">
      <alignment horizontal="right" vertical="center" wrapText="1"/>
    </xf>
    <xf numFmtId="3" fontId="28" fillId="0" borderId="92" xfId="0" applyNumberFormat="1" applyFont="1" applyBorder="1" applyAlignment="1">
      <alignment horizontal="right" vertical="center" wrapText="1"/>
    </xf>
    <xf numFmtId="3" fontId="28" fillId="0" borderId="93" xfId="0" applyNumberFormat="1" applyFont="1" applyBorder="1" applyAlignment="1">
      <alignment horizontal="right" vertical="center" wrapText="1"/>
    </xf>
    <xf numFmtId="3" fontId="28" fillId="0" borderId="86" xfId="0" applyNumberFormat="1" applyFont="1" applyBorder="1" applyAlignment="1">
      <alignment horizontal="right" vertical="center" wrapText="1"/>
    </xf>
    <xf numFmtId="0" fontId="36" fillId="3" borderId="79" xfId="5" applyFont="1" applyFill="1" applyBorder="1" applyAlignment="1">
      <alignment horizontal="right" vertical="center" wrapText="1"/>
    </xf>
    <xf numFmtId="0" fontId="36" fillId="3" borderId="1" xfId="5" applyFont="1" applyFill="1" applyBorder="1" applyAlignment="1">
      <alignment horizontal="right" vertical="center" wrapText="1"/>
    </xf>
    <xf numFmtId="0" fontId="36" fillId="3" borderId="61" xfId="5" applyFont="1" applyFill="1" applyBorder="1" applyAlignment="1">
      <alignment horizontal="right" vertical="center" wrapText="1"/>
    </xf>
    <xf numFmtId="0" fontId="30" fillId="3" borderId="14" xfId="5" applyFont="1" applyFill="1" applyBorder="1" applyAlignment="1">
      <alignment vertical="center" wrapText="1"/>
    </xf>
    <xf numFmtId="2" fontId="34" fillId="3" borderId="14" xfId="5" applyNumberFormat="1" applyFont="1" applyFill="1" applyBorder="1" applyAlignment="1">
      <alignment vertical="center" wrapText="1"/>
    </xf>
    <xf numFmtId="168" fontId="34" fillId="3" borderId="14" xfId="7" applyNumberFormat="1" applyFont="1" applyFill="1" applyBorder="1" applyAlignment="1">
      <alignment vertical="center"/>
    </xf>
    <xf numFmtId="168" fontId="30" fillId="3" borderId="14" xfId="7" applyNumberFormat="1" applyFont="1" applyFill="1" applyBorder="1" applyAlignment="1">
      <alignment vertical="center"/>
    </xf>
    <xf numFmtId="168" fontId="30" fillId="3" borderId="14" xfId="5" applyNumberFormat="1" applyFont="1" applyFill="1" applyBorder="1" applyAlignment="1">
      <alignment vertical="center"/>
    </xf>
  </cellXfs>
  <cellStyles count="8">
    <cellStyle name="Prozent" xfId="4" builtinId="5"/>
    <cellStyle name="Prozent 2" xfId="2"/>
    <cellStyle name="Prozent 3" xfId="6"/>
    <cellStyle name="Standard" xfId="0" builtinId="0"/>
    <cellStyle name="Standard 2" xfId="1"/>
    <cellStyle name="Standard 3" xfId="5"/>
    <cellStyle name="Währung" xfId="3" builtinId="4"/>
    <cellStyle name="Währung 2" xfId="7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\ &quot;€&quot;"/>
      <fill>
        <patternFill patternType="solid">
          <fgColor indexed="64"/>
          <bgColor theme="5" tint="0.5999938962981048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5" tint="0.5999938962981048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5" tint="0.5999938962981048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top" textRotation="0" wrapText="0" indent="0" justifyLastLine="0" shrinkToFit="0" readingOrder="0"/>
    </dxf>
  </dxfs>
  <tableStyles count="0" defaultTableStyle="TableStyleMedium2" defaultPivotStyle="PivotStyleLight16"/>
  <colors>
    <mruColors>
      <color rgb="FFFFC1C1"/>
      <color rgb="FFFFCCFF"/>
      <color rgb="FFFFFF99"/>
      <color rgb="FFFFFF00"/>
      <color rgb="FFFF99FF"/>
      <color rgb="FFD5DFFF"/>
      <color rgb="FF009051"/>
      <color rgb="FFFFBDBD"/>
      <color rgb="FF0000FF"/>
      <color rgb="FF6D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elle1" displayName="Tabelle1" ref="M37:O40" totalsRowCount="1" headerRowDxfId="6" dataDxfId="5">
  <autoFilter ref="M37:O39"/>
  <tableColumns count="3">
    <tableColumn id="1" name="Studium" totalsRowLabel="Ergebnis" totalsRowDxfId="4"/>
    <tableColumn id="2" name="Fachkraft" dataDxfId="3" totalsRowDxfId="2"/>
    <tableColumn id="3" name="Nicht-FK" totalsRowFunction="custom" dataDxfId="1" totalsRowDxfId="0">
      <totalsRowFormula>(M39*M38+N39*N38+O39*O38)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B1:P55"/>
  <sheetViews>
    <sheetView showGridLines="0" topLeftCell="A28" zoomScaleNormal="100" zoomScalePageLayoutView="150" workbookViewId="0">
      <selection activeCell="O60" sqref="O60"/>
    </sheetView>
  </sheetViews>
  <sheetFormatPr baseColWidth="10" defaultColWidth="10.7109375" defaultRowHeight="14.25" x14ac:dyDescent="0.25"/>
  <cols>
    <col min="1" max="1" width="3.42578125" style="3" customWidth="1"/>
    <col min="2" max="3" width="10.42578125" style="3" customWidth="1"/>
    <col min="4" max="6" width="10.7109375" style="3" customWidth="1"/>
    <col min="7" max="7" width="25.28515625" style="3" customWidth="1"/>
    <col min="8" max="8" width="12.7109375" style="3" customWidth="1"/>
    <col min="9" max="9" width="14.42578125" style="3" bestFit="1" customWidth="1"/>
    <col min="10" max="10" width="14.28515625" style="3" bestFit="1" customWidth="1"/>
    <col min="11" max="11" width="14.7109375" style="3" customWidth="1"/>
    <col min="12" max="12" width="13.28515625" style="3" bestFit="1" customWidth="1"/>
    <col min="13" max="13" width="11.7109375" style="3" bestFit="1" customWidth="1"/>
    <col min="14" max="14" width="12.28515625" style="3" customWidth="1"/>
    <col min="15" max="15" width="11.5703125" style="3" bestFit="1" customWidth="1"/>
    <col min="16" max="17" width="10.7109375" style="3"/>
    <col min="18" max="18" width="11.42578125" style="3" bestFit="1" customWidth="1"/>
    <col min="19" max="16384" width="10.7109375" style="3"/>
  </cols>
  <sheetData>
    <row r="1" spans="2:12" ht="18" customHeight="1" x14ac:dyDescent="0.25">
      <c r="B1" s="327" t="s">
        <v>57</v>
      </c>
      <c r="C1" s="328"/>
      <c r="D1" s="87" t="s">
        <v>47</v>
      </c>
      <c r="E1" s="87"/>
      <c r="F1" s="87"/>
      <c r="G1" s="87"/>
      <c r="H1" s="87"/>
      <c r="I1" s="88"/>
      <c r="J1" s="88"/>
      <c r="K1" s="89"/>
    </row>
    <row r="2" spans="2:12" ht="33" customHeight="1" thickBot="1" x14ac:dyDescent="0.3">
      <c r="B2" s="329"/>
      <c r="C2" s="330"/>
      <c r="D2" s="90" t="s">
        <v>56</v>
      </c>
      <c r="E2" s="91"/>
      <c r="F2" s="91"/>
      <c r="G2" s="91"/>
      <c r="H2" s="119" t="s">
        <v>49</v>
      </c>
      <c r="I2" s="6"/>
      <c r="J2" s="6"/>
      <c r="K2" s="92"/>
    </row>
    <row r="3" spans="2:12" ht="15.75" thickBot="1" x14ac:dyDescent="0.3">
      <c r="B3" s="77" t="s">
        <v>27</v>
      </c>
      <c r="C3" s="78" t="s">
        <v>28</v>
      </c>
      <c r="D3" s="321" t="s">
        <v>20</v>
      </c>
      <c r="E3" s="315"/>
      <c r="F3" s="315"/>
      <c r="G3" s="315"/>
      <c r="H3" s="315"/>
      <c r="I3" s="341"/>
      <c r="J3" s="341"/>
      <c r="K3" s="342"/>
    </row>
    <row r="4" spans="2:12" ht="30.75" customHeight="1" thickBot="1" x14ac:dyDescent="0.3">
      <c r="B4" s="79"/>
      <c r="C4" s="80"/>
      <c r="D4" s="295" t="s">
        <v>16</v>
      </c>
      <c r="E4" s="296"/>
      <c r="F4" s="296"/>
      <c r="G4" s="296"/>
      <c r="H4" s="296"/>
      <c r="I4" s="24" t="s">
        <v>41</v>
      </c>
      <c r="J4" s="25" t="s">
        <v>3</v>
      </c>
      <c r="K4" s="26" t="s">
        <v>0</v>
      </c>
    </row>
    <row r="5" spans="2:12" ht="14.1" customHeight="1" x14ac:dyDescent="0.25">
      <c r="B5" s="81"/>
      <c r="C5" s="82"/>
      <c r="D5" s="343" t="s">
        <v>25</v>
      </c>
      <c r="E5" s="344"/>
      <c r="F5" s="344"/>
      <c r="G5" s="344"/>
      <c r="H5" s="344"/>
      <c r="I5" s="344"/>
      <c r="J5" s="344"/>
      <c r="K5" s="345"/>
    </row>
    <row r="6" spans="2:12" ht="15" thickBot="1" x14ac:dyDescent="0.25">
      <c r="B6" s="81"/>
      <c r="C6" s="82"/>
      <c r="D6" s="346" t="s">
        <v>14</v>
      </c>
      <c r="E6" s="347"/>
      <c r="F6" s="347"/>
      <c r="G6" s="347"/>
      <c r="H6" s="348"/>
      <c r="I6" s="63">
        <f>75000*1.0935*1.02</f>
        <v>83652.75</v>
      </c>
      <c r="J6" s="19">
        <f>68200*1.0935*1.02</f>
        <v>76068.233999999997</v>
      </c>
      <c r="K6" s="31">
        <f>41300*1.0935*1.02</f>
        <v>46064.780999999995</v>
      </c>
      <c r="L6" s="125" t="s">
        <v>65</v>
      </c>
    </row>
    <row r="7" spans="2:12" ht="15.75" thickBot="1" x14ac:dyDescent="0.3">
      <c r="B7" s="74">
        <v>0</v>
      </c>
      <c r="C7" s="75">
        <v>0.01</v>
      </c>
      <c r="D7" s="349" t="s">
        <v>35</v>
      </c>
      <c r="E7" s="350"/>
      <c r="F7" s="350"/>
      <c r="G7" s="16"/>
      <c r="H7" s="64">
        <v>0</v>
      </c>
      <c r="I7" s="61">
        <f>ROUND(I6*$H$7,2)</f>
        <v>0</v>
      </c>
      <c r="J7" s="20">
        <f t="shared" ref="J7:K7" si="0">ROUND(J6*$H$7,2)</f>
        <v>0</v>
      </c>
      <c r="K7" s="32">
        <f t="shared" si="0"/>
        <v>0</v>
      </c>
      <c r="L7" s="126" t="s">
        <v>58</v>
      </c>
    </row>
    <row r="8" spans="2:12" ht="15.75" thickTop="1" thickBot="1" x14ac:dyDescent="0.25">
      <c r="B8" s="83"/>
      <c r="C8" s="84"/>
      <c r="D8" s="33" t="s">
        <v>15</v>
      </c>
      <c r="E8" s="9"/>
      <c r="F8" s="9"/>
      <c r="G8" s="9"/>
      <c r="H8" s="65"/>
      <c r="I8" s="62">
        <f>SUM(I6:I7)</f>
        <v>83652.75</v>
      </c>
      <c r="J8" s="23">
        <f t="shared" ref="J8:K8" si="1">SUM(J6:J7)</f>
        <v>76068.233999999997</v>
      </c>
      <c r="K8" s="34">
        <f t="shared" si="1"/>
        <v>46064.780999999995</v>
      </c>
      <c r="L8" s="118"/>
    </row>
    <row r="9" spans="2:12" ht="15" customHeight="1" thickBot="1" x14ac:dyDescent="0.3">
      <c r="B9" s="83"/>
      <c r="C9" s="84"/>
      <c r="D9" s="351" t="s">
        <v>29</v>
      </c>
      <c r="E9" s="352"/>
      <c r="F9" s="352"/>
      <c r="G9" s="352"/>
      <c r="H9" s="352"/>
      <c r="I9" s="21"/>
      <c r="J9" s="21"/>
      <c r="K9" s="22"/>
    </row>
    <row r="10" spans="2:12" ht="15.75" thickBot="1" x14ac:dyDescent="0.3">
      <c r="B10" s="74">
        <v>0</v>
      </c>
      <c r="C10" s="75">
        <v>0.15</v>
      </c>
      <c r="D10" s="44" t="s">
        <v>34</v>
      </c>
      <c r="E10" s="40"/>
      <c r="F10" s="41"/>
      <c r="G10" s="40"/>
      <c r="H10" s="64">
        <v>0.15</v>
      </c>
      <c r="I10" s="68">
        <f>I8*$H$10</f>
        <v>12547.9125</v>
      </c>
      <c r="J10" s="18">
        <f>J8*$H$10</f>
        <v>11410.2351</v>
      </c>
      <c r="K10" s="45">
        <f>K8*$H$10</f>
        <v>6909.7171499999995</v>
      </c>
      <c r="L10" s="127" t="s">
        <v>59</v>
      </c>
    </row>
    <row r="11" spans="2:12" ht="15" customHeight="1" thickBot="1" x14ac:dyDescent="0.3">
      <c r="B11" s="74">
        <v>0</v>
      </c>
      <c r="C11" s="75">
        <v>5.0000000000000001E-3</v>
      </c>
      <c r="D11" s="331" t="s">
        <v>62</v>
      </c>
      <c r="E11" s="332"/>
      <c r="F11" s="332"/>
      <c r="G11" s="332"/>
      <c r="H11" s="71">
        <v>0.05</v>
      </c>
      <c r="I11" s="69">
        <f>I8*$H$11</f>
        <v>4182.6374999999998</v>
      </c>
      <c r="J11" s="30">
        <f>J8*$H$11</f>
        <v>3803.4117000000001</v>
      </c>
      <c r="K11" s="42">
        <f>K8*$H$11</f>
        <v>2303.2390499999997</v>
      </c>
      <c r="L11" s="128" t="s">
        <v>64</v>
      </c>
    </row>
    <row r="12" spans="2:12" ht="15" customHeight="1" thickBot="1" x14ac:dyDescent="0.25">
      <c r="B12" s="81"/>
      <c r="C12" s="82"/>
      <c r="D12" s="353" t="s">
        <v>4</v>
      </c>
      <c r="E12" s="354"/>
      <c r="F12" s="354"/>
      <c r="G12" s="354"/>
      <c r="H12" s="355"/>
      <c r="I12" s="68">
        <f>SUM(I8:I11)</f>
        <v>100383.3</v>
      </c>
      <c r="J12" s="18">
        <f>SUM(J8:J11)</f>
        <v>91281.880799999999</v>
      </c>
      <c r="K12" s="45">
        <f>SUM(K8:K11)</f>
        <v>55277.737199999989</v>
      </c>
    </row>
    <row r="13" spans="2:12" ht="15.75" customHeight="1" thickBot="1" x14ac:dyDescent="0.3">
      <c r="B13" s="74">
        <v>0</v>
      </c>
      <c r="C13" s="75">
        <v>0</v>
      </c>
      <c r="D13" s="356" t="s">
        <v>48</v>
      </c>
      <c r="E13" s="357"/>
      <c r="F13" s="357"/>
      <c r="G13" s="43"/>
      <c r="H13" s="70">
        <v>0</v>
      </c>
      <c r="I13" s="67">
        <f>ROUND(I12*$H$13,2)</f>
        <v>0</v>
      </c>
      <c r="J13" s="29">
        <f>ROUND(J12*$H$13,2)</f>
        <v>0</v>
      </c>
      <c r="K13" s="35">
        <f>ROUND(K12*$H$13,2)</f>
        <v>0</v>
      </c>
      <c r="L13" s="126" t="s">
        <v>73</v>
      </c>
    </row>
    <row r="14" spans="2:12" ht="16.5" customHeight="1" thickBot="1" x14ac:dyDescent="0.3">
      <c r="B14" s="81"/>
      <c r="C14" s="82"/>
      <c r="D14" s="338" t="s">
        <v>17</v>
      </c>
      <c r="E14" s="358"/>
      <c r="F14" s="358"/>
      <c r="G14" s="358"/>
      <c r="H14" s="359"/>
      <c r="I14" s="66">
        <f>SUM(I12:I13)</f>
        <v>100383.3</v>
      </c>
      <c r="J14" s="36">
        <f t="shared" ref="J14:K14" si="2">SUM(J12:J13)</f>
        <v>91281.880799999999</v>
      </c>
      <c r="K14" s="37">
        <f t="shared" si="2"/>
        <v>55277.737199999989</v>
      </c>
    </row>
    <row r="15" spans="2:12" ht="15.75" thickBot="1" x14ac:dyDescent="0.3">
      <c r="B15" s="81"/>
      <c r="C15" s="81"/>
      <c r="D15" s="2"/>
      <c r="E15" s="2"/>
      <c r="F15" s="2"/>
      <c r="G15" s="2"/>
      <c r="H15" s="2"/>
      <c r="I15" s="4"/>
      <c r="J15" s="4"/>
      <c r="K15" s="4"/>
    </row>
    <row r="16" spans="2:12" ht="15.75" customHeight="1" thickBot="1" x14ac:dyDescent="0.3">
      <c r="B16" s="81"/>
      <c r="C16" s="81"/>
      <c r="D16" s="321" t="s">
        <v>42</v>
      </c>
      <c r="E16" s="315"/>
      <c r="F16" s="315"/>
      <c r="G16" s="315"/>
      <c r="H16" s="315"/>
      <c r="I16" s="341"/>
      <c r="J16" s="341"/>
      <c r="K16" s="342"/>
      <c r="L16" s="5"/>
    </row>
    <row r="17" spans="2:12" ht="15.75" customHeight="1" thickBot="1" x14ac:dyDescent="0.3">
      <c r="B17" s="81"/>
      <c r="C17" s="81"/>
      <c r="D17" s="306" t="s">
        <v>11</v>
      </c>
      <c r="E17" s="307"/>
      <c r="F17" s="307"/>
      <c r="G17" s="307"/>
      <c r="H17" s="334"/>
      <c r="I17" s="72" t="s">
        <v>5</v>
      </c>
      <c r="J17" s="27" t="s">
        <v>7</v>
      </c>
      <c r="K17" s="28" t="s">
        <v>6</v>
      </c>
      <c r="L17" s="5"/>
    </row>
    <row r="18" spans="2:12" ht="15.75" customHeight="1" x14ac:dyDescent="0.2">
      <c r="B18" s="81"/>
      <c r="C18" s="81"/>
      <c r="D18" s="312" t="s">
        <v>30</v>
      </c>
      <c r="E18" s="313"/>
      <c r="F18" s="313"/>
      <c r="G18" s="313"/>
      <c r="H18" s="333"/>
      <c r="I18" s="98">
        <v>0.5</v>
      </c>
      <c r="J18" s="108">
        <v>220</v>
      </c>
      <c r="K18" s="99">
        <f>I18*J18</f>
        <v>110</v>
      </c>
      <c r="L18" s="129" t="s">
        <v>66</v>
      </c>
    </row>
    <row r="19" spans="2:12" ht="15.75" customHeight="1" x14ac:dyDescent="0.2">
      <c r="B19" s="81"/>
      <c r="C19" s="81"/>
      <c r="D19" s="312" t="s">
        <v>38</v>
      </c>
      <c r="E19" s="313"/>
      <c r="F19" s="313"/>
      <c r="G19" s="313"/>
      <c r="H19" s="333"/>
      <c r="I19" s="100">
        <v>0.15</v>
      </c>
      <c r="J19" s="109">
        <v>220</v>
      </c>
      <c r="K19" s="101">
        <f>I19*J19</f>
        <v>33</v>
      </c>
      <c r="L19" s="129" t="s">
        <v>67</v>
      </c>
    </row>
    <row r="20" spans="2:12" ht="15.75" customHeight="1" x14ac:dyDescent="0.2">
      <c r="B20" s="81"/>
      <c r="C20" s="81"/>
      <c r="D20" s="312" t="s">
        <v>60</v>
      </c>
      <c r="E20" s="313"/>
      <c r="F20" s="313"/>
      <c r="G20" s="313"/>
      <c r="H20" s="333"/>
      <c r="I20" s="100">
        <v>4</v>
      </c>
      <c r="J20" s="109">
        <v>2.5</v>
      </c>
      <c r="K20" s="101">
        <f t="shared" ref="K20:K21" si="3">I20*J20</f>
        <v>10</v>
      </c>
      <c r="L20" s="5"/>
    </row>
    <row r="21" spans="2:12" ht="15.75" customHeight="1" thickBot="1" x14ac:dyDescent="0.25">
      <c r="B21" s="81"/>
      <c r="C21" s="81"/>
      <c r="D21" s="335" t="s">
        <v>61</v>
      </c>
      <c r="E21" s="336"/>
      <c r="F21" s="336"/>
      <c r="G21" s="336"/>
      <c r="H21" s="337"/>
      <c r="I21" s="102">
        <v>0.1</v>
      </c>
      <c r="J21" s="110">
        <v>220</v>
      </c>
      <c r="K21" s="103">
        <f t="shared" si="3"/>
        <v>22</v>
      </c>
      <c r="L21" s="129" t="s">
        <v>68</v>
      </c>
    </row>
    <row r="22" spans="2:12" ht="15.75" customHeight="1" thickBot="1" x14ac:dyDescent="0.3">
      <c r="B22" s="81"/>
      <c r="C22" s="81"/>
      <c r="D22" s="338" t="s">
        <v>31</v>
      </c>
      <c r="E22" s="314"/>
      <c r="F22" s="314"/>
      <c r="G22" s="314"/>
      <c r="H22" s="339"/>
      <c r="I22" s="340"/>
      <c r="J22" s="340"/>
      <c r="K22" s="106">
        <f>SUM(K18:K21)</f>
        <v>175</v>
      </c>
      <c r="L22" s="5"/>
    </row>
    <row r="23" spans="2:12" ht="15.75" customHeight="1" thickBot="1" x14ac:dyDescent="0.3">
      <c r="B23" s="81"/>
      <c r="C23" s="81"/>
      <c r="D23" s="306" t="s">
        <v>12</v>
      </c>
      <c r="E23" s="307"/>
      <c r="F23" s="307"/>
      <c r="G23" s="307"/>
      <c r="H23" s="334"/>
      <c r="I23" s="72" t="s">
        <v>5</v>
      </c>
      <c r="J23" s="27" t="s">
        <v>7</v>
      </c>
      <c r="K23" s="28" t="s">
        <v>6</v>
      </c>
      <c r="L23" s="5"/>
    </row>
    <row r="24" spans="2:12" ht="15.75" customHeight="1" x14ac:dyDescent="0.2">
      <c r="B24" s="81"/>
      <c r="C24" s="81"/>
      <c r="D24" s="312" t="s">
        <v>13</v>
      </c>
      <c r="E24" s="313"/>
      <c r="F24" s="313"/>
      <c r="G24" s="313"/>
      <c r="H24" s="333"/>
      <c r="I24" s="98">
        <v>1</v>
      </c>
      <c r="J24" s="109">
        <v>46</v>
      </c>
      <c r="K24" s="99">
        <f>I24*J24</f>
        <v>46</v>
      </c>
      <c r="L24" s="129"/>
    </row>
    <row r="25" spans="2:12" ht="15.75" customHeight="1" x14ac:dyDescent="0.2">
      <c r="B25" s="81"/>
      <c r="C25" s="81"/>
      <c r="D25" s="312" t="s">
        <v>8</v>
      </c>
      <c r="E25" s="313"/>
      <c r="F25" s="313"/>
      <c r="G25" s="313"/>
      <c r="H25" s="333"/>
      <c r="I25" s="100">
        <v>2</v>
      </c>
      <c r="J25" s="109">
        <v>10</v>
      </c>
      <c r="K25" s="101">
        <f t="shared" ref="K25:K27" si="4">I25*J25</f>
        <v>20</v>
      </c>
      <c r="L25" s="129"/>
    </row>
    <row r="26" spans="2:12" ht="15.75" customHeight="1" x14ac:dyDescent="0.2">
      <c r="B26" s="81"/>
      <c r="C26" s="81"/>
      <c r="D26" s="312" t="s">
        <v>9</v>
      </c>
      <c r="E26" s="313"/>
      <c r="F26" s="313"/>
      <c r="G26" s="313"/>
      <c r="H26" s="333"/>
      <c r="I26" s="100">
        <v>8</v>
      </c>
      <c r="J26" s="109">
        <v>1.5</v>
      </c>
      <c r="K26" s="101">
        <f t="shared" si="4"/>
        <v>12</v>
      </c>
      <c r="L26" s="129" t="s">
        <v>70</v>
      </c>
    </row>
    <row r="27" spans="2:12" ht="15.75" customHeight="1" x14ac:dyDescent="0.2">
      <c r="B27" s="81"/>
      <c r="C27" s="81"/>
      <c r="D27" s="312" t="s">
        <v>10</v>
      </c>
      <c r="E27" s="313"/>
      <c r="F27" s="313"/>
      <c r="G27" s="313"/>
      <c r="H27" s="333"/>
      <c r="I27" s="100">
        <v>8</v>
      </c>
      <c r="J27" s="109">
        <v>2</v>
      </c>
      <c r="K27" s="101">
        <f t="shared" si="4"/>
        <v>16</v>
      </c>
      <c r="L27" s="129"/>
    </row>
    <row r="28" spans="2:12" ht="15.75" customHeight="1" thickBot="1" x14ac:dyDescent="0.25">
      <c r="B28" s="81"/>
      <c r="C28" s="81"/>
      <c r="D28" s="308" t="s">
        <v>69</v>
      </c>
      <c r="E28" s="309"/>
      <c r="F28" s="309"/>
      <c r="G28" s="309"/>
      <c r="H28" s="73"/>
      <c r="I28" s="104">
        <v>8</v>
      </c>
      <c r="J28" s="109">
        <v>1</v>
      </c>
      <c r="K28" s="103">
        <f>I28*J28</f>
        <v>8</v>
      </c>
      <c r="L28" s="129" t="s">
        <v>71</v>
      </c>
    </row>
    <row r="29" spans="2:12" ht="15.75" customHeight="1" thickBot="1" x14ac:dyDescent="0.3">
      <c r="B29" s="81"/>
      <c r="C29" s="82"/>
      <c r="D29" s="306" t="s">
        <v>32</v>
      </c>
      <c r="E29" s="307"/>
      <c r="F29" s="307"/>
      <c r="G29" s="307"/>
      <c r="H29" s="307"/>
      <c r="I29" s="322"/>
      <c r="J29" s="322"/>
      <c r="K29" s="107">
        <f>SUM(K24:K28)</f>
        <v>102</v>
      </c>
      <c r="L29" s="5"/>
    </row>
    <row r="30" spans="2:12" ht="15.75" customHeight="1" thickBot="1" x14ac:dyDescent="0.3">
      <c r="B30" s="81"/>
      <c r="C30" s="82"/>
      <c r="D30" s="323" t="s">
        <v>33</v>
      </c>
      <c r="E30" s="324"/>
      <c r="F30" s="324"/>
      <c r="G30" s="324"/>
      <c r="H30" s="325"/>
      <c r="I30" s="326"/>
      <c r="J30" s="326"/>
      <c r="K30" s="105">
        <f>K22+K29</f>
        <v>277</v>
      </c>
      <c r="L30" s="5"/>
    </row>
    <row r="31" spans="2:12" ht="15.75" customHeight="1" thickBot="1" x14ac:dyDescent="0.3">
      <c r="B31" s="81"/>
      <c r="C31" s="81"/>
      <c r="D31" s="2"/>
      <c r="E31" s="2"/>
      <c r="F31" s="2"/>
      <c r="G31" s="2"/>
      <c r="H31" s="2"/>
    </row>
    <row r="32" spans="2:12" ht="15.75" customHeight="1" thickBot="1" x14ac:dyDescent="0.3">
      <c r="B32" s="81"/>
      <c r="C32" s="81"/>
      <c r="D32" s="310" t="s">
        <v>50</v>
      </c>
      <c r="E32" s="311"/>
      <c r="F32" s="311"/>
      <c r="G32" s="311"/>
      <c r="H32" s="311"/>
      <c r="I32" s="39" t="s">
        <v>6</v>
      </c>
      <c r="K32"/>
    </row>
    <row r="33" spans="2:16" ht="15.75" customHeight="1" thickBot="1" x14ac:dyDescent="0.3">
      <c r="B33" s="115">
        <v>1582</v>
      </c>
      <c r="C33" s="116">
        <v>1545</v>
      </c>
      <c r="D33" s="312" t="s">
        <v>39</v>
      </c>
      <c r="E33" s="313"/>
      <c r="F33" s="313"/>
      <c r="G33" s="313"/>
      <c r="H33" s="309"/>
      <c r="I33" s="117">
        <v>1562</v>
      </c>
      <c r="J33" s="3" t="s">
        <v>72</v>
      </c>
      <c r="K33"/>
    </row>
    <row r="34" spans="2:16" ht="15.75" customHeight="1" thickBot="1" x14ac:dyDescent="0.3">
      <c r="B34" s="76">
        <v>0.1</v>
      </c>
      <c r="C34" s="76">
        <v>0.25</v>
      </c>
      <c r="D34" s="308" t="s">
        <v>43</v>
      </c>
      <c r="E34" s="309"/>
      <c r="F34" s="309"/>
      <c r="G34" s="309"/>
      <c r="H34" s="38">
        <f>IF(($K$30/$I$33)&gt;$C$34,$C$34,IF(($K$30/$I$33)&lt;$B$34,$B$34,($K$30/$I$33)))</f>
        <v>0.17733674775928296</v>
      </c>
      <c r="I34" s="103">
        <f>-H34*I33</f>
        <v>-277</v>
      </c>
      <c r="K34"/>
      <c r="L34" s="97"/>
    </row>
    <row r="35" spans="2:16" ht="15.75" customHeight="1" thickBot="1" x14ac:dyDescent="0.3">
      <c r="B35" s="85"/>
      <c r="C35" s="85"/>
      <c r="D35" s="306" t="s">
        <v>40</v>
      </c>
      <c r="E35" s="307"/>
      <c r="F35" s="307"/>
      <c r="G35" s="307"/>
      <c r="H35" s="314"/>
      <c r="I35" s="111">
        <f>SUM(I33:I34)</f>
        <v>1285</v>
      </c>
      <c r="K35" s="5"/>
    </row>
    <row r="36" spans="2:16" ht="15.75" customHeight="1" thickBot="1" x14ac:dyDescent="0.3">
      <c r="B36" s="81"/>
      <c r="C36" s="81"/>
      <c r="D36" s="1"/>
      <c r="E36" s="1"/>
      <c r="F36" s="1"/>
      <c r="G36" s="1"/>
      <c r="H36" s="1"/>
      <c r="I36" s="1"/>
      <c r="J36" s="1"/>
      <c r="K36" s="1"/>
      <c r="L36" s="5"/>
      <c r="N36" s="6"/>
      <c r="O36" s="6"/>
      <c r="P36" s="6"/>
    </row>
    <row r="37" spans="2:16" ht="15.75" customHeight="1" thickBot="1" x14ac:dyDescent="0.3">
      <c r="B37" s="81"/>
      <c r="C37" s="81"/>
      <c r="D37" s="315" t="s">
        <v>37</v>
      </c>
      <c r="E37" s="315"/>
      <c r="F37" s="315"/>
      <c r="G37" s="315"/>
      <c r="H37" s="315"/>
      <c r="I37" s="315"/>
      <c r="J37" s="315"/>
      <c r="K37" s="316"/>
      <c r="L37" s="5"/>
      <c r="M37" s="124" t="s">
        <v>52</v>
      </c>
      <c r="N37" s="124" t="s">
        <v>53</v>
      </c>
      <c r="O37" s="124" t="s">
        <v>54</v>
      </c>
    </row>
    <row r="38" spans="2:16" ht="30.75" customHeight="1" x14ac:dyDescent="0.25">
      <c r="B38" s="81"/>
      <c r="C38" s="81"/>
      <c r="D38" s="317" t="s">
        <v>16</v>
      </c>
      <c r="E38" s="318"/>
      <c r="F38" s="318"/>
      <c r="G38" s="318"/>
      <c r="H38" s="319"/>
      <c r="I38" s="46" t="s">
        <v>2</v>
      </c>
      <c r="J38" s="47" t="s">
        <v>3</v>
      </c>
      <c r="K38" s="48" t="s">
        <v>0</v>
      </c>
      <c r="L38" s="5"/>
      <c r="M38" s="130">
        <v>0.1</v>
      </c>
      <c r="N38" s="130">
        <v>0.3</v>
      </c>
      <c r="O38" s="130">
        <v>0.6</v>
      </c>
    </row>
    <row r="39" spans="2:16" ht="15.75" thickBot="1" x14ac:dyDescent="0.3">
      <c r="B39" s="81"/>
      <c r="C39" s="81"/>
      <c r="D39" s="303" t="s">
        <v>18</v>
      </c>
      <c r="E39" s="304"/>
      <c r="F39" s="304"/>
      <c r="G39" s="304"/>
      <c r="H39" s="305"/>
      <c r="I39" s="49">
        <f>I14</f>
        <v>100383.3</v>
      </c>
      <c r="J39" s="50">
        <f>J14</f>
        <v>91281.880799999999</v>
      </c>
      <c r="K39" s="51">
        <f>K14</f>
        <v>55277.737199999989</v>
      </c>
      <c r="L39" s="5"/>
      <c r="M39" s="122">
        <f>I42</f>
        <v>78.12</v>
      </c>
      <c r="N39" s="123">
        <f>J42</f>
        <v>71.040000000000006</v>
      </c>
      <c r="O39" s="123">
        <f>K42</f>
        <v>43.02</v>
      </c>
    </row>
    <row r="40" spans="2:16" ht="15" thickBot="1" x14ac:dyDescent="0.25">
      <c r="B40" s="76">
        <v>1</v>
      </c>
      <c r="C40" s="76">
        <v>1</v>
      </c>
      <c r="D40" s="300" t="s">
        <v>46</v>
      </c>
      <c r="E40" s="301"/>
      <c r="F40" s="301"/>
      <c r="G40" s="301"/>
      <c r="H40" s="302"/>
      <c r="I40" s="131">
        <v>1</v>
      </c>
      <c r="J40" s="131">
        <v>1</v>
      </c>
      <c r="K40" s="131">
        <v>1</v>
      </c>
      <c r="L40" s="5"/>
      <c r="M40" s="120" t="s">
        <v>55</v>
      </c>
      <c r="N40" s="120"/>
      <c r="O40" s="121">
        <f>(M39*M38+N39*N38+O39*O38)</f>
        <v>54.936000000000007</v>
      </c>
    </row>
    <row r="41" spans="2:16" ht="15.75" thickTop="1" thickBot="1" x14ac:dyDescent="0.25">
      <c r="B41" s="81"/>
      <c r="C41" s="81"/>
      <c r="D41" s="297" t="s">
        <v>19</v>
      </c>
      <c r="E41" s="298"/>
      <c r="F41" s="298"/>
      <c r="G41" s="298"/>
      <c r="H41" s="299"/>
      <c r="I41" s="114">
        <f>$I$35</f>
        <v>1285</v>
      </c>
      <c r="J41" s="113">
        <f t="shared" ref="J41:K41" si="5">$I$35</f>
        <v>1285</v>
      </c>
      <c r="K41" s="112">
        <f t="shared" si="5"/>
        <v>1285</v>
      </c>
      <c r="L41" s="5"/>
      <c r="N41" s="6"/>
      <c r="O41" s="7"/>
    </row>
    <row r="42" spans="2:16" ht="15.75" customHeight="1" thickTop="1" thickBot="1" x14ac:dyDescent="0.3">
      <c r="B42" s="86"/>
      <c r="C42" s="86"/>
      <c r="D42" s="320" t="s">
        <v>1</v>
      </c>
      <c r="E42" s="320"/>
      <c r="F42" s="320"/>
      <c r="G42" s="320"/>
      <c r="H42" s="320"/>
      <c r="I42" s="52">
        <f>ROUND(I39/I40/I41,2)</f>
        <v>78.12</v>
      </c>
      <c r="J42" s="54">
        <f t="shared" ref="J42:K42" si="6">ROUND(J39/J40/J41,2)</f>
        <v>71.040000000000006</v>
      </c>
      <c r="K42" s="53">
        <f t="shared" si="6"/>
        <v>43.02</v>
      </c>
      <c r="L42" s="5"/>
      <c r="N42" s="6"/>
      <c r="O42" s="7">
        <f>Tabelle1[[#Totals],[Nicht-FK]]*30*4.33</f>
        <v>7136.1864000000005</v>
      </c>
    </row>
    <row r="43" spans="2:16" ht="15" thickBot="1" x14ac:dyDescent="0.3">
      <c r="I43" s="8"/>
      <c r="J43" s="8"/>
      <c r="L43" s="5"/>
      <c r="M43" s="6"/>
      <c r="N43" s="6"/>
      <c r="O43" s="6"/>
    </row>
    <row r="44" spans="2:16" ht="15.75" thickBot="1" x14ac:dyDescent="0.3">
      <c r="D44" s="321" t="s">
        <v>26</v>
      </c>
      <c r="E44" s="315"/>
      <c r="F44" s="315"/>
      <c r="G44" s="315"/>
      <c r="H44" s="315"/>
      <c r="I44" s="315"/>
      <c r="J44" s="315"/>
      <c r="K44" s="316"/>
      <c r="L44" s="5"/>
      <c r="M44" s="6"/>
      <c r="N44" s="6"/>
      <c r="O44" s="6"/>
      <c r="P44" s="6"/>
    </row>
    <row r="45" spans="2:16" ht="30.75" customHeight="1" thickBot="1" x14ac:dyDescent="0.3">
      <c r="D45" s="295" t="s">
        <v>16</v>
      </c>
      <c r="E45" s="296"/>
      <c r="F45" s="296"/>
      <c r="G45" s="296" t="s">
        <v>16</v>
      </c>
      <c r="H45" s="296"/>
      <c r="I45" s="360" t="s">
        <v>63</v>
      </c>
      <c r="J45" s="361"/>
      <c r="K45" s="362"/>
      <c r="L45" s="5"/>
      <c r="M45" s="6"/>
      <c r="N45" s="6"/>
      <c r="O45" s="6"/>
      <c r="P45" s="6"/>
    </row>
    <row r="46" spans="2:16" ht="15.75" thickBot="1" x14ac:dyDescent="0.3">
      <c r="D46" s="56" t="s">
        <v>22</v>
      </c>
      <c r="E46" s="57"/>
      <c r="F46" s="58">
        <v>0.65</v>
      </c>
      <c r="G46" s="57" t="s">
        <v>21</v>
      </c>
      <c r="H46" s="59"/>
      <c r="I46" s="363">
        <f>$O$40*F46</f>
        <v>35.708400000000005</v>
      </c>
      <c r="J46" s="364"/>
      <c r="K46" s="365"/>
      <c r="L46" s="6"/>
      <c r="M46" s="6"/>
      <c r="N46" s="6"/>
      <c r="O46" s="6"/>
    </row>
    <row r="47" spans="2:16" ht="15.75" thickBot="1" x14ac:dyDescent="0.3">
      <c r="D47" s="10" t="s">
        <v>23</v>
      </c>
      <c r="E47" s="11"/>
      <c r="F47" s="55">
        <v>0.45</v>
      </c>
      <c r="G47" s="11" t="s">
        <v>21</v>
      </c>
      <c r="H47" s="12"/>
      <c r="I47" s="363">
        <f t="shared" ref="I47:I48" si="7">$O$40*F47</f>
        <v>24.721200000000003</v>
      </c>
      <c r="J47" s="364"/>
      <c r="K47" s="365"/>
      <c r="L47" s="6"/>
      <c r="M47" s="6"/>
      <c r="N47" s="6"/>
      <c r="O47" s="6"/>
    </row>
    <row r="48" spans="2:16" ht="15.75" thickBot="1" x14ac:dyDescent="0.3">
      <c r="D48" s="10" t="s">
        <v>24</v>
      </c>
      <c r="E48" s="11"/>
      <c r="F48" s="55">
        <v>0.35</v>
      </c>
      <c r="G48" s="11" t="s">
        <v>21</v>
      </c>
      <c r="H48" s="12"/>
      <c r="I48" s="363">
        <f t="shared" si="7"/>
        <v>19.227600000000002</v>
      </c>
      <c r="J48" s="364"/>
      <c r="K48" s="365"/>
      <c r="L48" s="6"/>
    </row>
    <row r="49" spans="2:12" ht="15.75" thickBot="1" x14ac:dyDescent="0.3">
      <c r="D49" s="13" t="s">
        <v>36</v>
      </c>
      <c r="E49" s="14"/>
      <c r="F49" s="60">
        <v>0.3</v>
      </c>
      <c r="G49" s="14" t="s">
        <v>21</v>
      </c>
      <c r="H49" s="15"/>
      <c r="I49" s="363">
        <f>$O$40*F49</f>
        <v>16.480800000000002</v>
      </c>
      <c r="J49" s="364"/>
      <c r="K49" s="365"/>
      <c r="L49" s="6"/>
    </row>
    <row r="50" spans="2:12" x14ac:dyDescent="0.25">
      <c r="D50" s="6"/>
      <c r="E50" s="6"/>
      <c r="F50" s="6"/>
      <c r="G50" s="6"/>
      <c r="H50" s="6"/>
      <c r="I50" s="6"/>
      <c r="J50" s="6"/>
      <c r="K50" s="7"/>
      <c r="L50" s="6"/>
    </row>
    <row r="52" spans="2:12" x14ac:dyDescent="0.2">
      <c r="C52" s="93" t="s">
        <v>44</v>
      </c>
      <c r="D52" s="93"/>
      <c r="E52" s="93"/>
      <c r="F52" s="93"/>
      <c r="G52" s="93"/>
      <c r="H52" s="94"/>
    </row>
    <row r="53" spans="2:12" x14ac:dyDescent="0.2">
      <c r="C53" s="95" t="s">
        <v>45</v>
      </c>
      <c r="D53" s="95"/>
      <c r="E53" s="95"/>
      <c r="F53" s="95"/>
      <c r="G53" s="95"/>
      <c r="H53" s="94"/>
    </row>
    <row r="54" spans="2:12" ht="15" x14ac:dyDescent="0.25">
      <c r="B54" s="17"/>
      <c r="C54" s="94"/>
      <c r="D54" s="94"/>
      <c r="E54" s="94"/>
      <c r="F54" s="94"/>
      <c r="G54" s="94"/>
      <c r="H54" s="94"/>
    </row>
    <row r="55" spans="2:12" ht="15" x14ac:dyDescent="0.25">
      <c r="C55" s="94"/>
      <c r="D55" s="94"/>
      <c r="E55" s="94"/>
      <c r="F55" s="94"/>
      <c r="G55" s="94"/>
      <c r="K55" s="96" t="s">
        <v>51</v>
      </c>
    </row>
  </sheetData>
  <mergeCells count="46">
    <mergeCell ref="I45:K45"/>
    <mergeCell ref="I46:K46"/>
    <mergeCell ref="I47:K47"/>
    <mergeCell ref="I48:K48"/>
    <mergeCell ref="I49:K49"/>
    <mergeCell ref="I22:J22"/>
    <mergeCell ref="D16:K16"/>
    <mergeCell ref="D3:K3"/>
    <mergeCell ref="D4:H4"/>
    <mergeCell ref="D5:K5"/>
    <mergeCell ref="D6:H6"/>
    <mergeCell ref="D7:F7"/>
    <mergeCell ref="D9:H9"/>
    <mergeCell ref="D12:H12"/>
    <mergeCell ref="D13:F13"/>
    <mergeCell ref="D14:H14"/>
    <mergeCell ref="B1:C2"/>
    <mergeCell ref="D11:G11"/>
    <mergeCell ref="D28:G28"/>
    <mergeCell ref="D27:H27"/>
    <mergeCell ref="D17:H17"/>
    <mergeCell ref="D18:H18"/>
    <mergeCell ref="D19:H19"/>
    <mergeCell ref="D20:H20"/>
    <mergeCell ref="D21:H21"/>
    <mergeCell ref="D23:H23"/>
    <mergeCell ref="D24:H24"/>
    <mergeCell ref="D25:H25"/>
    <mergeCell ref="D26:H26"/>
    <mergeCell ref="D22:H22"/>
    <mergeCell ref="D45:H45"/>
    <mergeCell ref="D41:H41"/>
    <mergeCell ref="D40:H40"/>
    <mergeCell ref="D39:H39"/>
    <mergeCell ref="D29:H29"/>
    <mergeCell ref="D34:G34"/>
    <mergeCell ref="D32:H32"/>
    <mergeCell ref="D33:H33"/>
    <mergeCell ref="D35:H35"/>
    <mergeCell ref="D37:K37"/>
    <mergeCell ref="D38:H38"/>
    <mergeCell ref="D42:H42"/>
    <mergeCell ref="D44:K44"/>
    <mergeCell ref="I29:J29"/>
    <mergeCell ref="D30:H30"/>
    <mergeCell ref="I30:J30"/>
  </mergeCells>
  <pageMargins left="0.70866141732283472" right="0.70866141732283472" top="0.78740157480314965" bottom="0.78740157480314965" header="0.31496062992125984" footer="0.31496062992125984"/>
  <pageSetup paperSize="9" scale="76" orientation="portrait" r:id="rId1"/>
  <tableParts count="1">
    <tablePart r:id="rId2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S23"/>
  <sheetViews>
    <sheetView zoomScaleNormal="100" workbookViewId="0">
      <selection activeCell="R23" sqref="A1:R23"/>
    </sheetView>
  </sheetViews>
  <sheetFormatPr baseColWidth="10" defaultRowHeight="14.25" x14ac:dyDescent="0.2"/>
  <cols>
    <col min="1" max="1" width="4.140625" style="155" customWidth="1"/>
    <col min="2" max="2" width="16.85546875" style="155" customWidth="1"/>
    <col min="3" max="3" width="21.85546875" style="155" customWidth="1"/>
    <col min="4" max="4" width="30" style="155" customWidth="1"/>
    <col min="5" max="5" width="7.7109375" style="155" customWidth="1"/>
    <col min="6" max="6" width="8.28515625" style="155" customWidth="1"/>
    <col min="7" max="7" width="15.140625" style="135" bestFit="1" customWidth="1"/>
    <col min="8" max="8" width="12.85546875" style="135" bestFit="1" customWidth="1"/>
    <col min="9" max="9" width="12.85546875" style="135" customWidth="1"/>
    <col min="10" max="10" width="15.28515625" style="155" customWidth="1"/>
    <col min="11" max="11" width="7.85546875" style="155" customWidth="1"/>
    <col min="12" max="12" width="8.7109375" style="155" customWidth="1"/>
    <col min="13" max="13" width="7.5703125" style="155" bestFit="1" customWidth="1"/>
    <col min="14" max="14" width="9.140625" style="155" customWidth="1"/>
    <col min="15" max="15" width="15.140625" style="135" bestFit="1" customWidth="1"/>
    <col min="16" max="16" width="12.85546875" style="135" bestFit="1" customWidth="1"/>
    <col min="17" max="17" width="12.85546875" style="135" customWidth="1"/>
    <col min="18" max="18" width="15.140625" style="155" bestFit="1" customWidth="1"/>
    <col min="19" max="16384" width="11.42578125" style="155"/>
  </cols>
  <sheetData>
    <row r="1" spans="1:19" ht="18" x14ac:dyDescent="0.25">
      <c r="A1" s="258" t="s">
        <v>140</v>
      </c>
      <c r="B1" s="258"/>
      <c r="C1" s="258"/>
      <c r="D1" s="259"/>
      <c r="E1" s="259"/>
      <c r="F1" s="259"/>
      <c r="N1" s="135"/>
    </row>
    <row r="2" spans="1:19" ht="15" x14ac:dyDescent="0.2">
      <c r="A2" s="133" t="s">
        <v>77</v>
      </c>
      <c r="E2" s="366" t="s">
        <v>78</v>
      </c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</row>
    <row r="3" spans="1:19" ht="15" x14ac:dyDescent="0.25">
      <c r="E3" s="367" t="s">
        <v>150</v>
      </c>
      <c r="F3" s="367"/>
      <c r="G3" s="367"/>
      <c r="H3" s="367"/>
      <c r="I3" s="367"/>
      <c r="J3" s="367"/>
      <c r="K3" s="377">
        <v>2025</v>
      </c>
      <c r="L3" s="377"/>
      <c r="M3" s="377"/>
      <c r="N3" s="377"/>
      <c r="O3" s="377"/>
      <c r="P3" s="377"/>
      <c r="Q3" s="377"/>
      <c r="R3" s="378"/>
    </row>
    <row r="4" spans="1:19" ht="36" x14ac:dyDescent="0.2">
      <c r="A4" s="136" t="s">
        <v>79</v>
      </c>
      <c r="B4" s="136" t="s">
        <v>80</v>
      </c>
      <c r="C4" s="136" t="s">
        <v>81</v>
      </c>
      <c r="D4" s="136" t="s">
        <v>82</v>
      </c>
      <c r="E4" s="136" t="s">
        <v>83</v>
      </c>
      <c r="F4" s="136" t="s">
        <v>84</v>
      </c>
      <c r="G4" s="137" t="s">
        <v>85</v>
      </c>
      <c r="H4" s="137" t="s">
        <v>86</v>
      </c>
      <c r="I4" s="137" t="s">
        <v>87</v>
      </c>
      <c r="J4" s="136" t="s">
        <v>88</v>
      </c>
      <c r="K4" s="243" t="s">
        <v>83</v>
      </c>
      <c r="L4" s="136" t="s">
        <v>84</v>
      </c>
      <c r="M4" s="243" t="s">
        <v>83</v>
      </c>
      <c r="N4" s="136" t="s">
        <v>84</v>
      </c>
      <c r="O4" s="137" t="s">
        <v>85</v>
      </c>
      <c r="P4" s="137" t="s">
        <v>86</v>
      </c>
      <c r="Q4" s="137" t="s">
        <v>87</v>
      </c>
      <c r="R4" s="136" t="s">
        <v>88</v>
      </c>
    </row>
    <row r="5" spans="1:19" ht="15" x14ac:dyDescent="0.2">
      <c r="A5" s="138" t="s">
        <v>89</v>
      </c>
      <c r="B5" s="374" t="s">
        <v>90</v>
      </c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6"/>
    </row>
    <row r="6" spans="1:19" ht="21.75" customHeight="1" x14ac:dyDescent="0.2">
      <c r="A6" s="138"/>
      <c r="B6" s="380"/>
      <c r="C6" s="380"/>
      <c r="D6" s="380"/>
      <c r="E6" s="380"/>
      <c r="F6" s="380"/>
      <c r="G6" s="380"/>
      <c r="H6" s="380"/>
      <c r="I6" s="380"/>
      <c r="J6" s="381"/>
      <c r="K6" s="382" t="s">
        <v>154</v>
      </c>
      <c r="L6" s="383"/>
      <c r="M6" s="384" t="s">
        <v>155</v>
      </c>
      <c r="N6" s="384"/>
      <c r="O6" s="247"/>
      <c r="P6" s="247"/>
      <c r="Q6" s="247"/>
      <c r="R6" s="248"/>
    </row>
    <row r="7" spans="1:19" s="160" customFormat="1" ht="28.15" customHeight="1" x14ac:dyDescent="0.2">
      <c r="A7" s="138">
        <v>6</v>
      </c>
      <c r="B7" s="156" t="s">
        <v>91</v>
      </c>
      <c r="C7" s="156" t="s">
        <v>92</v>
      </c>
      <c r="D7" s="156" t="s">
        <v>93</v>
      </c>
      <c r="E7" s="156">
        <v>5</v>
      </c>
      <c r="F7" s="157">
        <f>E7*0.35</f>
        <v>1.75</v>
      </c>
      <c r="G7" s="139">
        <f>ROUND($G$23*F7/12*4,-1)</f>
        <v>39780</v>
      </c>
      <c r="H7" s="139">
        <f>P7/12*4</f>
        <v>400</v>
      </c>
      <c r="I7" s="139">
        <f>ROUND(Q7/12*4,-1)</f>
        <v>570</v>
      </c>
      <c r="J7" s="198">
        <f>SUM(G7:I7)</f>
        <v>40750</v>
      </c>
      <c r="K7" s="156">
        <f>E7</f>
        <v>5</v>
      </c>
      <c r="L7" s="244">
        <f>K7*0.35</f>
        <v>1.75</v>
      </c>
      <c r="M7" s="156">
        <v>5</v>
      </c>
      <c r="N7" s="157">
        <f>M7*0.35</f>
        <v>1.75</v>
      </c>
      <c r="O7" s="139">
        <f>$G$23*N7</f>
        <v>119350</v>
      </c>
      <c r="P7" s="139">
        <v>1200</v>
      </c>
      <c r="Q7" s="139">
        <v>1700</v>
      </c>
      <c r="R7" s="158">
        <f>SUM(O7:Q7)</f>
        <v>122250</v>
      </c>
      <c r="S7" s="159"/>
    </row>
    <row r="8" spans="1:19" s="207" customFormat="1" ht="28.15" customHeight="1" x14ac:dyDescent="0.2">
      <c r="A8" s="138">
        <v>7</v>
      </c>
      <c r="B8" s="230" t="s">
        <v>156</v>
      </c>
      <c r="C8" s="230" t="s">
        <v>92</v>
      </c>
      <c r="D8" s="230" t="s">
        <v>157</v>
      </c>
      <c r="E8" s="203">
        <v>5</v>
      </c>
      <c r="F8" s="204">
        <f>E8*0.35</f>
        <v>1.75</v>
      </c>
      <c r="G8" s="205">
        <f>ROUND($G$23*F8/12*4,-1)</f>
        <v>39780</v>
      </c>
      <c r="H8" s="205">
        <f t="shared" ref="H8" si="0">P8/12*4</f>
        <v>400</v>
      </c>
      <c r="I8" s="205">
        <f t="shared" ref="I8" si="1">ROUND(Q8/12*4,-1)</f>
        <v>570</v>
      </c>
      <c r="J8" s="198">
        <f>SUM(G8:I8)</f>
        <v>40750</v>
      </c>
      <c r="K8" s="156">
        <f t="shared" ref="K8" si="2">E8</f>
        <v>5</v>
      </c>
      <c r="L8" s="244">
        <f t="shared" ref="L8:L9" si="3">K8*0.35</f>
        <v>1.75</v>
      </c>
      <c r="M8" s="156">
        <v>5</v>
      </c>
      <c r="N8" s="157">
        <f t="shared" ref="N8:N9" si="4">M8*0.35</f>
        <v>1.75</v>
      </c>
      <c r="O8" s="205">
        <f>$G$23*N8</f>
        <v>119350</v>
      </c>
      <c r="P8" s="205">
        <v>1200</v>
      </c>
      <c r="Q8" s="205">
        <v>1700</v>
      </c>
      <c r="R8" s="158">
        <f>SUM(O8:Q8)</f>
        <v>122250</v>
      </c>
      <c r="S8" s="206"/>
    </row>
    <row r="9" spans="1:19" s="160" customFormat="1" ht="28.15" customHeight="1" x14ac:dyDescent="0.2">
      <c r="A9" s="138">
        <v>8</v>
      </c>
      <c r="B9" s="156" t="s">
        <v>94</v>
      </c>
      <c r="C9" s="156" t="s">
        <v>92</v>
      </c>
      <c r="D9" s="156" t="s">
        <v>95</v>
      </c>
      <c r="E9" s="156">
        <v>5</v>
      </c>
      <c r="F9" s="157">
        <f>E9*0.35</f>
        <v>1.75</v>
      </c>
      <c r="G9" s="139">
        <f>ROUND($G$23*F9/12*4,-1)</f>
        <v>39780</v>
      </c>
      <c r="H9" s="139">
        <f t="shared" ref="H9" si="5">P9/12*4</f>
        <v>400</v>
      </c>
      <c r="I9" s="139">
        <f t="shared" ref="I9" si="6">ROUND(Q9/12*4,-1)</f>
        <v>570</v>
      </c>
      <c r="J9" s="198">
        <f>SUM(G9:I9)</f>
        <v>40750</v>
      </c>
      <c r="K9" s="156">
        <f>E9</f>
        <v>5</v>
      </c>
      <c r="L9" s="244">
        <f t="shared" si="3"/>
        <v>1.75</v>
      </c>
      <c r="M9" s="156">
        <v>5</v>
      </c>
      <c r="N9" s="157">
        <f t="shared" si="4"/>
        <v>1.75</v>
      </c>
      <c r="O9" s="139">
        <f>$G$23*N9</f>
        <v>119350</v>
      </c>
      <c r="P9" s="139">
        <v>1200</v>
      </c>
      <c r="Q9" s="139">
        <v>1700</v>
      </c>
      <c r="R9" s="158">
        <f>SUM(O9:Q9)</f>
        <v>122250</v>
      </c>
      <c r="S9" s="159"/>
    </row>
    <row r="10" spans="1:19" s="224" customFormat="1" ht="28.15" customHeight="1" x14ac:dyDescent="0.2">
      <c r="A10" s="368" t="s">
        <v>96</v>
      </c>
      <c r="B10" s="369"/>
      <c r="C10" s="369"/>
      <c r="D10" s="370"/>
      <c r="E10" s="220">
        <f t="shared" ref="E10:Q10" si="7">SUM(E7:E9)</f>
        <v>15</v>
      </c>
      <c r="F10" s="225">
        <f>SUM(F7:F9)</f>
        <v>5.25</v>
      </c>
      <c r="G10" s="221">
        <f t="shared" si="7"/>
        <v>119340</v>
      </c>
      <c r="H10" s="221">
        <f t="shared" si="7"/>
        <v>1200</v>
      </c>
      <c r="I10" s="221">
        <f t="shared" si="7"/>
        <v>1710</v>
      </c>
      <c r="J10" s="199">
        <f>SUM(J7:J9)</f>
        <v>122250</v>
      </c>
      <c r="K10" s="220">
        <f t="shared" si="7"/>
        <v>15</v>
      </c>
      <c r="L10" s="220">
        <f>SUM(L7:L9)</f>
        <v>5.25</v>
      </c>
      <c r="M10" s="220">
        <f>SUM(M7:M9)</f>
        <v>15</v>
      </c>
      <c r="N10" s="220">
        <f t="shared" si="7"/>
        <v>5.25</v>
      </c>
      <c r="O10" s="221">
        <f>SUM(O7:O9)</f>
        <v>358050</v>
      </c>
      <c r="P10" s="221">
        <f t="shared" si="7"/>
        <v>3600</v>
      </c>
      <c r="Q10" s="221">
        <f t="shared" si="7"/>
        <v>5100</v>
      </c>
      <c r="R10" s="222">
        <f>SUM(R7:R9)</f>
        <v>366750</v>
      </c>
      <c r="S10" s="223"/>
    </row>
    <row r="11" spans="1:19" ht="15" x14ac:dyDescent="0.2">
      <c r="A11" s="138" t="s">
        <v>97</v>
      </c>
      <c r="B11" s="374" t="s">
        <v>98</v>
      </c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5"/>
      <c r="Q11" s="375"/>
      <c r="R11" s="376"/>
    </row>
    <row r="12" spans="1:19" ht="21.75" customHeight="1" x14ac:dyDescent="0.2">
      <c r="A12" s="138"/>
      <c r="B12" s="379"/>
      <c r="C12" s="380"/>
      <c r="D12" s="380"/>
      <c r="E12" s="380"/>
      <c r="F12" s="380"/>
      <c r="G12" s="380"/>
      <c r="H12" s="380"/>
      <c r="I12" s="380"/>
      <c r="J12" s="381"/>
      <c r="K12" s="385" t="s">
        <v>154</v>
      </c>
      <c r="L12" s="386"/>
      <c r="M12" s="384" t="s">
        <v>155</v>
      </c>
      <c r="N12" s="384"/>
      <c r="O12" s="247"/>
      <c r="P12" s="247"/>
      <c r="Q12" s="247"/>
      <c r="R12" s="248"/>
    </row>
    <row r="13" spans="1:19" s="160" customFormat="1" ht="28.15" customHeight="1" x14ac:dyDescent="0.2">
      <c r="A13" s="138">
        <v>1</v>
      </c>
      <c r="B13" s="156" t="s">
        <v>99</v>
      </c>
      <c r="C13" s="156" t="s">
        <v>100</v>
      </c>
      <c r="D13" s="242" t="s">
        <v>159</v>
      </c>
      <c r="E13" s="156">
        <v>3</v>
      </c>
      <c r="F13" s="157">
        <f>E13*0.35</f>
        <v>1.0499999999999998</v>
      </c>
      <c r="G13" s="139">
        <f>ROUND($G$23*F13/12*4,-1)</f>
        <v>23870</v>
      </c>
      <c r="H13" s="139">
        <f>P13/12*4</f>
        <v>400</v>
      </c>
      <c r="I13" s="139">
        <f>ROUND(Q13/12*4,-1)</f>
        <v>570</v>
      </c>
      <c r="J13" s="198">
        <f>SUM(G13:I13)</f>
        <v>24840</v>
      </c>
      <c r="K13" s="156">
        <f>E13</f>
        <v>3</v>
      </c>
      <c r="L13" s="157">
        <f>K13*0.35</f>
        <v>1.0499999999999998</v>
      </c>
      <c r="M13" s="156">
        <v>4</v>
      </c>
      <c r="N13" s="157">
        <f>M13*0.35</f>
        <v>1.4</v>
      </c>
      <c r="O13" s="139">
        <f>(K13/12*8*0.35+M13/12*4*0.35)*$G$23</f>
        <v>79566.666666666657</v>
      </c>
      <c r="P13" s="139">
        <v>1200</v>
      </c>
      <c r="Q13" s="139">
        <v>1700</v>
      </c>
      <c r="R13" s="158">
        <f>SUM(O13:Q13)</f>
        <v>82466.666666666657</v>
      </c>
      <c r="S13" s="159"/>
    </row>
    <row r="14" spans="1:19" s="160" customFormat="1" ht="28.15" customHeight="1" x14ac:dyDescent="0.2">
      <c r="A14" s="138">
        <v>9</v>
      </c>
      <c r="B14" s="178" t="s">
        <v>149</v>
      </c>
      <c r="C14" s="178" t="s">
        <v>142</v>
      </c>
      <c r="D14" s="242" t="s">
        <v>160</v>
      </c>
      <c r="E14" s="156">
        <v>3</v>
      </c>
      <c r="F14" s="157">
        <f>E14*0.35</f>
        <v>1.0499999999999998</v>
      </c>
      <c r="G14" s="139">
        <f>ROUND($G$23*F14/12*4,-1)</f>
        <v>23870</v>
      </c>
      <c r="H14" s="139">
        <f t="shared" ref="H14" si="8">P14/12*4</f>
        <v>400</v>
      </c>
      <c r="I14" s="139">
        <f t="shared" ref="I14" si="9">ROUND(Q14/12*4,-1)</f>
        <v>570</v>
      </c>
      <c r="J14" s="198">
        <f>SUM(G14:I14)</f>
        <v>24840</v>
      </c>
      <c r="K14" s="156">
        <f t="shared" ref="K14:K15" si="10">E14</f>
        <v>3</v>
      </c>
      <c r="L14" s="157">
        <f t="shared" ref="L14:L15" si="11">K14*0.35</f>
        <v>1.0499999999999998</v>
      </c>
      <c r="M14" s="156">
        <v>4</v>
      </c>
      <c r="N14" s="157">
        <f>M14*0.35</f>
        <v>1.4</v>
      </c>
      <c r="O14" s="139">
        <f>(K14/12*8*0.35+M14/12*4*0.35)*$G$23</f>
        <v>79566.666666666657</v>
      </c>
      <c r="P14" s="139">
        <v>1200</v>
      </c>
      <c r="Q14" s="139">
        <v>1700</v>
      </c>
      <c r="R14" s="158">
        <f>SUM(O14:Q14)</f>
        <v>82466.666666666657</v>
      </c>
      <c r="S14" s="159"/>
    </row>
    <row r="15" spans="1:19" s="160" customFormat="1" ht="28.15" customHeight="1" x14ac:dyDescent="0.2">
      <c r="A15" s="138">
        <v>11</v>
      </c>
      <c r="B15" s="156" t="s">
        <v>102</v>
      </c>
      <c r="C15" s="156" t="s">
        <v>103</v>
      </c>
      <c r="D15" s="156" t="s">
        <v>104</v>
      </c>
      <c r="E15" s="156">
        <v>4</v>
      </c>
      <c r="F15" s="157">
        <f>E15*0.35</f>
        <v>1.4</v>
      </c>
      <c r="G15" s="139">
        <f>ROUND($G$23*F15/12*4,-1)</f>
        <v>31830</v>
      </c>
      <c r="H15" s="139">
        <f>P15/12*4</f>
        <v>400</v>
      </c>
      <c r="I15" s="139">
        <f>ROUND(Q15/12*4,-1)</f>
        <v>570</v>
      </c>
      <c r="J15" s="198">
        <f>SUM(G15:I15)</f>
        <v>32800</v>
      </c>
      <c r="K15" s="156">
        <f t="shared" si="10"/>
        <v>4</v>
      </c>
      <c r="L15" s="157">
        <f t="shared" si="11"/>
        <v>1.4</v>
      </c>
      <c r="M15" s="156">
        <v>4</v>
      </c>
      <c r="N15" s="157">
        <f t="shared" ref="N15" si="12">K15*0.35</f>
        <v>1.4</v>
      </c>
      <c r="O15" s="139">
        <f>$G$23*N15</f>
        <v>95480</v>
      </c>
      <c r="P15" s="139">
        <v>1200</v>
      </c>
      <c r="Q15" s="139">
        <v>1700</v>
      </c>
      <c r="R15" s="158">
        <f>SUM(O15:Q15)</f>
        <v>98380</v>
      </c>
      <c r="S15" s="159"/>
    </row>
    <row r="16" spans="1:19" s="224" customFormat="1" ht="28.15" customHeight="1" x14ac:dyDescent="0.2">
      <c r="A16" s="368">
        <v>3</v>
      </c>
      <c r="B16" s="369"/>
      <c r="C16" s="369"/>
      <c r="D16" s="370"/>
      <c r="E16" s="220">
        <f>SUM(E13:E15)</f>
        <v>10</v>
      </c>
      <c r="F16" s="225">
        <f>ROUND(SUM(F13:F15),2)</f>
        <v>3.5</v>
      </c>
      <c r="G16" s="226">
        <f>SUM(G13:G15)</f>
        <v>79570</v>
      </c>
      <c r="H16" s="226">
        <f t="shared" ref="H16:M16" si="13">SUM(H13:H15)</f>
        <v>1200</v>
      </c>
      <c r="I16" s="226">
        <f t="shared" si="13"/>
        <v>1710</v>
      </c>
      <c r="J16" s="199">
        <f>SUM(J13:J15)</f>
        <v>82480</v>
      </c>
      <c r="K16" s="245">
        <f t="shared" si="13"/>
        <v>10</v>
      </c>
      <c r="L16" s="246">
        <f t="shared" si="13"/>
        <v>3.4999999999999996</v>
      </c>
      <c r="M16" s="245">
        <f t="shared" si="13"/>
        <v>12</v>
      </c>
      <c r="N16" s="246">
        <f>ROUND(SUM(N13:N15),2)</f>
        <v>4.2</v>
      </c>
      <c r="O16" s="221">
        <f>SUM(O13:O15)</f>
        <v>254613.33333333331</v>
      </c>
      <c r="P16" s="221">
        <f>SUM(P13:P15)</f>
        <v>3600</v>
      </c>
      <c r="Q16" s="221">
        <f>SUM(Q13:Q15)</f>
        <v>5100</v>
      </c>
      <c r="R16" s="222">
        <f>SUM(R13:R15)</f>
        <v>263313.33333333331</v>
      </c>
      <c r="S16" s="223"/>
    </row>
    <row r="17" spans="1:19" ht="4.9000000000000004" customHeight="1" x14ac:dyDescent="0.2">
      <c r="G17" s="145"/>
      <c r="H17" s="145"/>
      <c r="I17" s="145"/>
      <c r="J17" s="161"/>
      <c r="K17" s="161"/>
      <c r="L17" s="161"/>
      <c r="M17" s="161"/>
      <c r="N17" s="161"/>
      <c r="O17" s="145"/>
      <c r="P17" s="145"/>
      <c r="Q17" s="145"/>
      <c r="R17" s="161"/>
    </row>
    <row r="18" spans="1:19" s="148" customFormat="1" ht="28.15" customHeight="1" x14ac:dyDescent="0.2">
      <c r="A18" s="371" t="s">
        <v>106</v>
      </c>
      <c r="B18" s="372"/>
      <c r="C18" s="372"/>
      <c r="D18" s="373"/>
      <c r="E18" s="146">
        <f t="shared" ref="E18:Q18" si="14">E10+E16</f>
        <v>25</v>
      </c>
      <c r="F18" s="229">
        <f t="shared" si="14"/>
        <v>8.75</v>
      </c>
      <c r="G18" s="141">
        <f>G10+G16</f>
        <v>198910</v>
      </c>
      <c r="H18" s="141">
        <f t="shared" si="14"/>
        <v>2400</v>
      </c>
      <c r="I18" s="141">
        <f t="shared" si="14"/>
        <v>3420</v>
      </c>
      <c r="J18" s="200">
        <f>J10+J16</f>
        <v>204730</v>
      </c>
      <c r="K18" s="146">
        <f t="shared" si="14"/>
        <v>25</v>
      </c>
      <c r="L18" s="146">
        <f t="shared" si="14"/>
        <v>8.75</v>
      </c>
      <c r="M18" s="146">
        <f t="shared" si="14"/>
        <v>27</v>
      </c>
      <c r="N18" s="229">
        <f t="shared" si="14"/>
        <v>9.4499999999999993</v>
      </c>
      <c r="O18" s="141">
        <f t="shared" si="14"/>
        <v>612663.33333333326</v>
      </c>
      <c r="P18" s="141">
        <f t="shared" si="14"/>
        <v>7200</v>
      </c>
      <c r="Q18" s="141">
        <f t="shared" si="14"/>
        <v>10200</v>
      </c>
      <c r="R18" s="147">
        <f>R10+R16</f>
        <v>630063.33333333326</v>
      </c>
    </row>
    <row r="19" spans="1:19" s="135" customFormat="1" x14ac:dyDescent="0.2">
      <c r="A19" s="155"/>
      <c r="B19" s="155"/>
      <c r="C19" s="155"/>
      <c r="D19" s="155"/>
      <c r="E19" s="155"/>
      <c r="F19" s="155"/>
      <c r="J19" s="163"/>
      <c r="K19" s="163"/>
      <c r="L19" s="163"/>
      <c r="M19" s="163"/>
      <c r="N19" s="163"/>
      <c r="O19" s="149"/>
      <c r="R19" s="155"/>
      <c r="S19" s="155"/>
    </row>
    <row r="20" spans="1:19" x14ac:dyDescent="0.2">
      <c r="A20" s="228" t="s">
        <v>152</v>
      </c>
      <c r="J20" s="163"/>
      <c r="R20" s="163"/>
    </row>
    <row r="21" spans="1:19" x14ac:dyDescent="0.2">
      <c r="A21" s="228" t="s">
        <v>153</v>
      </c>
    </row>
    <row r="22" spans="1:19" x14ac:dyDescent="0.2">
      <c r="J22" s="135"/>
    </row>
    <row r="23" spans="1:19" x14ac:dyDescent="0.2">
      <c r="B23" s="276" t="s">
        <v>175</v>
      </c>
      <c r="G23" s="162">
        <v>68200</v>
      </c>
      <c r="R23" s="161"/>
    </row>
  </sheetData>
  <mergeCells count="14">
    <mergeCell ref="E2:R2"/>
    <mergeCell ref="E3:J3"/>
    <mergeCell ref="A16:D16"/>
    <mergeCell ref="A18:D18"/>
    <mergeCell ref="A10:D10"/>
    <mergeCell ref="B11:R11"/>
    <mergeCell ref="B5:R5"/>
    <mergeCell ref="K3:R3"/>
    <mergeCell ref="B12:J12"/>
    <mergeCell ref="K6:L6"/>
    <mergeCell ref="M6:N6"/>
    <mergeCell ref="K12:L12"/>
    <mergeCell ref="M12:N12"/>
    <mergeCell ref="B6:J6"/>
  </mergeCells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headerFooter>
    <oddHeader>&amp;R&amp;"Arial,Fett"&amp;14Anlage 2&amp;"Arial,Standard"&amp;12 zu GRDrs 378/2024</oddHeader>
    <oddFooter>&amp;C&amp;"Arial,Standard"Seite &amp;P von &amp;N</oddFooter>
  </headerFooter>
  <ignoredErrors>
    <ignoredError sqref="N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O23"/>
  <sheetViews>
    <sheetView zoomScaleNormal="100" workbookViewId="0">
      <selection activeCell="N23" sqref="A1:N23"/>
    </sheetView>
  </sheetViews>
  <sheetFormatPr baseColWidth="10" defaultRowHeight="14.25" x14ac:dyDescent="0.2"/>
  <cols>
    <col min="1" max="1" width="4.140625" style="155" customWidth="1"/>
    <col min="2" max="2" width="16.85546875" style="155" customWidth="1"/>
    <col min="3" max="3" width="21.85546875" style="155" customWidth="1"/>
    <col min="4" max="4" width="30" style="155" customWidth="1"/>
    <col min="5" max="5" width="7.7109375" style="155" customWidth="1"/>
    <col min="6" max="6" width="8.28515625" style="155" customWidth="1"/>
    <col min="7" max="7" width="15.140625" style="135" bestFit="1" customWidth="1"/>
    <col min="8" max="8" width="12.85546875" style="135" bestFit="1" customWidth="1"/>
    <col min="9" max="9" width="12.85546875" style="135" customWidth="1"/>
    <col min="10" max="10" width="15.28515625" style="155" customWidth="1"/>
    <col min="11" max="11" width="15.140625" style="135" bestFit="1" customWidth="1"/>
    <col min="12" max="12" width="12.85546875" style="135" bestFit="1" customWidth="1"/>
    <col min="13" max="13" width="12.85546875" style="135" customWidth="1"/>
    <col min="14" max="14" width="15.140625" style="155" bestFit="1" customWidth="1"/>
    <col min="15" max="16384" width="11.42578125" style="155"/>
  </cols>
  <sheetData>
    <row r="1" spans="1:15" ht="18" x14ac:dyDescent="0.25">
      <c r="A1" s="201" t="s">
        <v>141</v>
      </c>
      <c r="B1" s="201"/>
      <c r="C1" s="201"/>
      <c r="D1" s="202"/>
      <c r="E1" s="202"/>
      <c r="F1" s="202"/>
    </row>
    <row r="2" spans="1:15" ht="15" x14ac:dyDescent="0.2">
      <c r="A2" s="133" t="s">
        <v>77</v>
      </c>
      <c r="G2" s="390" t="s">
        <v>78</v>
      </c>
      <c r="H2" s="391"/>
      <c r="I2" s="391"/>
      <c r="J2" s="391"/>
      <c r="K2" s="391"/>
      <c r="L2" s="391"/>
      <c r="M2" s="391"/>
      <c r="N2" s="392"/>
    </row>
    <row r="3" spans="1:15" ht="17.25" x14ac:dyDescent="0.25">
      <c r="G3" s="367" t="s">
        <v>167</v>
      </c>
      <c r="H3" s="367"/>
      <c r="I3" s="367"/>
      <c r="J3" s="367"/>
      <c r="K3" s="393">
        <v>2025</v>
      </c>
      <c r="L3" s="393"/>
      <c r="M3" s="393"/>
      <c r="N3" s="393"/>
    </row>
    <row r="4" spans="1:15" ht="47.25" x14ac:dyDescent="0.2">
      <c r="A4" s="136" t="s">
        <v>79</v>
      </c>
      <c r="B4" s="136" t="s">
        <v>80</v>
      </c>
      <c r="C4" s="136" t="s">
        <v>81</v>
      </c>
      <c r="D4" s="136" t="s">
        <v>82</v>
      </c>
      <c r="E4" s="136" t="s">
        <v>83</v>
      </c>
      <c r="F4" s="136" t="s">
        <v>169</v>
      </c>
      <c r="G4" s="137" t="s">
        <v>85</v>
      </c>
      <c r="H4" s="137" t="s">
        <v>86</v>
      </c>
      <c r="I4" s="137" t="s">
        <v>87</v>
      </c>
      <c r="J4" s="136" t="s">
        <v>88</v>
      </c>
      <c r="K4" s="137" t="s">
        <v>85</v>
      </c>
      <c r="L4" s="137" t="s">
        <v>86</v>
      </c>
      <c r="M4" s="137" t="s">
        <v>87</v>
      </c>
      <c r="N4" s="136" t="s">
        <v>88</v>
      </c>
    </row>
    <row r="5" spans="1:15" ht="15" x14ac:dyDescent="0.2">
      <c r="A5" s="138" t="s">
        <v>89</v>
      </c>
      <c r="B5" s="374" t="s">
        <v>90</v>
      </c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6"/>
    </row>
    <row r="6" spans="1:15" s="160" customFormat="1" ht="28.15" customHeight="1" x14ac:dyDescent="0.2">
      <c r="A6" s="138">
        <v>12</v>
      </c>
      <c r="B6" s="156" t="s">
        <v>102</v>
      </c>
      <c r="C6" s="156" t="s">
        <v>107</v>
      </c>
      <c r="D6" s="156" t="s">
        <v>108</v>
      </c>
      <c r="E6" s="156">
        <v>5</v>
      </c>
      <c r="F6" s="157">
        <f>E6*0.35</f>
        <v>1.75</v>
      </c>
      <c r="G6" s="139">
        <f>ROUND($G$23*F6/12*4,-1)</f>
        <v>39780</v>
      </c>
      <c r="H6" s="139">
        <f>L6/12*4</f>
        <v>400</v>
      </c>
      <c r="I6" s="139">
        <f>ROUND(M6/12*4,-1)</f>
        <v>570</v>
      </c>
      <c r="J6" s="208">
        <f>SUM(G6:I6)</f>
        <v>40750</v>
      </c>
      <c r="K6" s="139">
        <f>$G$23*F6</f>
        <v>119350</v>
      </c>
      <c r="L6" s="139">
        <v>1200</v>
      </c>
      <c r="M6" s="139">
        <v>1700</v>
      </c>
      <c r="N6" s="158">
        <f>SUM(K6:M6)</f>
        <v>122250</v>
      </c>
      <c r="O6" s="159"/>
    </row>
    <row r="7" spans="1:15" s="207" customFormat="1" ht="28.15" customHeight="1" x14ac:dyDescent="0.2">
      <c r="A7" s="138">
        <v>2</v>
      </c>
      <c r="B7" s="203" t="s">
        <v>109</v>
      </c>
      <c r="C7" s="203" t="s">
        <v>107</v>
      </c>
      <c r="D7" s="203" t="s">
        <v>110</v>
      </c>
      <c r="E7" s="203">
        <v>5</v>
      </c>
      <c r="F7" s="204">
        <f t="shared" ref="F7:F8" si="0">E7*0.35</f>
        <v>1.75</v>
      </c>
      <c r="G7" s="205">
        <f>ROUND($G$23*F7/12*4,-1)</f>
        <v>39780</v>
      </c>
      <c r="H7" s="205">
        <f t="shared" ref="H7:H8" si="1">L7/12*4</f>
        <v>400</v>
      </c>
      <c r="I7" s="205">
        <f t="shared" ref="I7:I8" si="2">ROUND(M7/12*4,-1)</f>
        <v>570</v>
      </c>
      <c r="J7" s="208">
        <f>SUM(G7:I7)</f>
        <v>40750</v>
      </c>
      <c r="K7" s="205">
        <f>$G$23*F7</f>
        <v>119350</v>
      </c>
      <c r="L7" s="205">
        <v>1200</v>
      </c>
      <c r="M7" s="205">
        <v>1700</v>
      </c>
      <c r="N7" s="158">
        <f>SUM(K7:M7)</f>
        <v>122250</v>
      </c>
      <c r="O7" s="206"/>
    </row>
    <row r="8" spans="1:15" s="207" customFormat="1" ht="28.15" customHeight="1" x14ac:dyDescent="0.2">
      <c r="A8" s="138">
        <v>10</v>
      </c>
      <c r="B8" s="203" t="s">
        <v>111</v>
      </c>
      <c r="C8" s="203" t="s">
        <v>92</v>
      </c>
      <c r="D8" s="203" t="s">
        <v>112</v>
      </c>
      <c r="E8" s="203">
        <v>5</v>
      </c>
      <c r="F8" s="204">
        <f t="shared" si="0"/>
        <v>1.75</v>
      </c>
      <c r="G8" s="205">
        <f>ROUND($G$23*F8/12*4,-1)</f>
        <v>39780</v>
      </c>
      <c r="H8" s="205">
        <f t="shared" si="1"/>
        <v>400</v>
      </c>
      <c r="I8" s="205">
        <f t="shared" si="2"/>
        <v>570</v>
      </c>
      <c r="J8" s="208">
        <f>SUM(G8:I8)</f>
        <v>40750</v>
      </c>
      <c r="K8" s="205">
        <f>$G$23*F8</f>
        <v>119350</v>
      </c>
      <c r="L8" s="205">
        <v>1200</v>
      </c>
      <c r="M8" s="205">
        <v>1700</v>
      </c>
      <c r="N8" s="158">
        <f>SUM(K8:M8)</f>
        <v>122250</v>
      </c>
      <c r="O8" s="206"/>
    </row>
    <row r="9" spans="1:15" s="207" customFormat="1" x14ac:dyDescent="0.2">
      <c r="A9" s="414" t="s">
        <v>176</v>
      </c>
      <c r="B9" s="415"/>
      <c r="C9" s="415"/>
      <c r="D9" s="416"/>
      <c r="E9" s="417"/>
      <c r="F9" s="418">
        <v>3</v>
      </c>
      <c r="G9" s="419">
        <f>ROUND($G$23*F9/12*4,-1)</f>
        <v>68200</v>
      </c>
      <c r="H9" s="419">
        <v>0</v>
      </c>
      <c r="I9" s="419">
        <v>0</v>
      </c>
      <c r="J9" s="420">
        <f>SUM(G9:I9)</f>
        <v>68200</v>
      </c>
      <c r="K9" s="419">
        <f>$G$23*F9</f>
        <v>204600</v>
      </c>
      <c r="L9" s="419">
        <v>0</v>
      </c>
      <c r="M9" s="419">
        <v>0</v>
      </c>
      <c r="N9" s="421">
        <f>SUM(K9:M9)</f>
        <v>204600</v>
      </c>
      <c r="O9" s="206"/>
    </row>
    <row r="10" spans="1:15" s="144" customFormat="1" ht="28.15" customHeight="1" x14ac:dyDescent="0.2">
      <c r="A10" s="387" t="s">
        <v>96</v>
      </c>
      <c r="B10" s="388"/>
      <c r="C10" s="388"/>
      <c r="D10" s="389"/>
      <c r="E10" s="140">
        <f>SUM(E6:E8)</f>
        <v>15</v>
      </c>
      <c r="F10" s="255">
        <f>SUM(F6:F8)</f>
        <v>5.25</v>
      </c>
      <c r="G10" s="141">
        <f>SUM(G6:G8)</f>
        <v>119340</v>
      </c>
      <c r="H10" s="141">
        <f t="shared" ref="H10:K10" si="3">SUM(H6:H8)</f>
        <v>1200</v>
      </c>
      <c r="I10" s="141">
        <f t="shared" si="3"/>
        <v>1710</v>
      </c>
      <c r="J10" s="209">
        <f>SUM(J6:J8)</f>
        <v>122250</v>
      </c>
      <c r="K10" s="141">
        <f t="shared" si="3"/>
        <v>358050</v>
      </c>
      <c r="L10" s="141">
        <f>SUM(L6:L9)</f>
        <v>3600</v>
      </c>
      <c r="M10" s="141">
        <f>SUM(M6:M9)</f>
        <v>5100</v>
      </c>
      <c r="N10" s="142">
        <f>SUM(N6:N8)</f>
        <v>366750</v>
      </c>
      <c r="O10" s="143"/>
    </row>
    <row r="11" spans="1:15" ht="15" x14ac:dyDescent="0.2">
      <c r="A11" s="138" t="s">
        <v>97</v>
      </c>
      <c r="B11" s="374" t="s">
        <v>98</v>
      </c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N11" s="376"/>
    </row>
    <row r="12" spans="1:15" s="160" customFormat="1" ht="28.15" customHeight="1" x14ac:dyDescent="0.2">
      <c r="A12" s="138">
        <v>4</v>
      </c>
      <c r="B12" s="156" t="s">
        <v>113</v>
      </c>
      <c r="C12" s="156" t="s">
        <v>114</v>
      </c>
      <c r="D12" s="156" t="s">
        <v>115</v>
      </c>
      <c r="E12" s="156">
        <v>3</v>
      </c>
      <c r="F12" s="157">
        <f>E12*0.35</f>
        <v>1.0499999999999998</v>
      </c>
      <c r="G12" s="139">
        <f>ROUND($G$23*F12/12*4,-1)</f>
        <v>23870</v>
      </c>
      <c r="H12" s="139">
        <f>L12/12*4</f>
        <v>400</v>
      </c>
      <c r="I12" s="139">
        <f>ROUND(M12/12*4,-1)</f>
        <v>570</v>
      </c>
      <c r="J12" s="208">
        <f>SUM(G12:I12)</f>
        <v>24840</v>
      </c>
      <c r="K12" s="139">
        <f>$G$23*F12</f>
        <v>71609.999999999985</v>
      </c>
      <c r="L12" s="139">
        <v>1200</v>
      </c>
      <c r="M12" s="139">
        <v>1700</v>
      </c>
      <c r="N12" s="158">
        <f>SUM(K12:M12)</f>
        <v>74509.999999999985</v>
      </c>
      <c r="O12" s="159"/>
    </row>
    <row r="13" spans="1:15" s="160" customFormat="1" ht="28.15" customHeight="1" x14ac:dyDescent="0.2">
      <c r="A13" s="138">
        <v>3</v>
      </c>
      <c r="B13" s="156" t="s">
        <v>116</v>
      </c>
      <c r="C13" s="156" t="s">
        <v>117</v>
      </c>
      <c r="D13" s="156" t="s">
        <v>118</v>
      </c>
      <c r="E13" s="156">
        <v>4</v>
      </c>
      <c r="F13" s="157">
        <f>E13*0.35</f>
        <v>1.4</v>
      </c>
      <c r="G13" s="139">
        <f>ROUND($G$23*F13/12*4,-1)</f>
        <v>31830</v>
      </c>
      <c r="H13" s="139">
        <f t="shared" ref="H13:H14" si="4">L13/12*4</f>
        <v>400</v>
      </c>
      <c r="I13" s="139">
        <f t="shared" ref="I13:I14" si="5">ROUND(M13/12*4,-1)</f>
        <v>570</v>
      </c>
      <c r="J13" s="208">
        <f>SUM(G13:I13)</f>
        <v>32800</v>
      </c>
      <c r="K13" s="139">
        <f>$G$23*F13</f>
        <v>95480</v>
      </c>
      <c r="L13" s="139">
        <v>1200</v>
      </c>
      <c r="M13" s="139">
        <v>1700</v>
      </c>
      <c r="N13" s="158">
        <f>SUM(K13:M13)</f>
        <v>98380</v>
      </c>
      <c r="O13" s="159"/>
    </row>
    <row r="14" spans="1:15" s="160" customFormat="1" ht="28.15" customHeight="1" x14ac:dyDescent="0.2">
      <c r="A14" s="138">
        <v>5</v>
      </c>
      <c r="B14" s="156" t="s">
        <v>119</v>
      </c>
      <c r="C14" s="156" t="s">
        <v>120</v>
      </c>
      <c r="D14" s="156" t="s">
        <v>121</v>
      </c>
      <c r="E14" s="156">
        <v>5</v>
      </c>
      <c r="F14" s="157">
        <f>E14*0.35</f>
        <v>1.75</v>
      </c>
      <c r="G14" s="139">
        <f>ROUND($G$23*F14/12*4,-1)</f>
        <v>39780</v>
      </c>
      <c r="H14" s="139">
        <f t="shared" si="4"/>
        <v>400</v>
      </c>
      <c r="I14" s="139">
        <f t="shared" si="5"/>
        <v>570</v>
      </c>
      <c r="J14" s="208">
        <f>SUM(G14:I14)</f>
        <v>40750</v>
      </c>
      <c r="K14" s="139">
        <f>$G$23*F14</f>
        <v>119350</v>
      </c>
      <c r="L14" s="139">
        <v>1200</v>
      </c>
      <c r="M14" s="139">
        <v>1700</v>
      </c>
      <c r="N14" s="158">
        <f>SUM(K14:M14)</f>
        <v>122250</v>
      </c>
      <c r="O14" s="159"/>
    </row>
    <row r="15" spans="1:15" s="207" customFormat="1" x14ac:dyDescent="0.2">
      <c r="A15" s="414" t="s">
        <v>176</v>
      </c>
      <c r="B15" s="415"/>
      <c r="C15" s="415"/>
      <c r="D15" s="416"/>
      <c r="E15" s="417"/>
      <c r="F15" s="418">
        <f>0.6+0.8+1</f>
        <v>2.4</v>
      </c>
      <c r="G15" s="419">
        <f>ROUND($G$23*F15/12*4,-1)</f>
        <v>54560</v>
      </c>
      <c r="H15" s="419">
        <v>0</v>
      </c>
      <c r="I15" s="419">
        <v>0</v>
      </c>
      <c r="J15" s="420">
        <f>SUM(G15:I15)</f>
        <v>54560</v>
      </c>
      <c r="K15" s="419">
        <f>$G$23*F15</f>
        <v>163680</v>
      </c>
      <c r="L15" s="419">
        <v>0</v>
      </c>
      <c r="M15" s="419">
        <v>0</v>
      </c>
      <c r="N15" s="421">
        <f>SUM(K15:M15)</f>
        <v>163680</v>
      </c>
      <c r="O15" s="206"/>
    </row>
    <row r="16" spans="1:15" s="144" customFormat="1" ht="28.15" customHeight="1" x14ac:dyDescent="0.2">
      <c r="A16" s="387" t="s">
        <v>105</v>
      </c>
      <c r="B16" s="388"/>
      <c r="C16" s="388"/>
      <c r="D16" s="389"/>
      <c r="E16" s="140">
        <f t="shared" ref="E16:M16" si="6">SUM(E12:E14)</f>
        <v>12</v>
      </c>
      <c r="F16" s="255">
        <f>SUM(F12:F14)</f>
        <v>4.1999999999999993</v>
      </c>
      <c r="G16" s="141">
        <f>SUM(G12:G14)</f>
        <v>95480</v>
      </c>
      <c r="H16" s="141">
        <f t="shared" si="6"/>
        <v>1200</v>
      </c>
      <c r="I16" s="141">
        <f t="shared" si="6"/>
        <v>1710</v>
      </c>
      <c r="J16" s="209">
        <f>SUM(J12:J14)</f>
        <v>98390</v>
      </c>
      <c r="K16" s="141">
        <f t="shared" si="6"/>
        <v>286440</v>
      </c>
      <c r="L16" s="141">
        <f t="shared" si="6"/>
        <v>3600</v>
      </c>
      <c r="M16" s="141">
        <f t="shared" si="6"/>
        <v>5100</v>
      </c>
      <c r="N16" s="142">
        <f>SUM(N12:N14)</f>
        <v>295140</v>
      </c>
      <c r="O16" s="143"/>
    </row>
    <row r="17" spans="1:14" ht="4.9000000000000004" customHeight="1" x14ac:dyDescent="0.2">
      <c r="G17" s="145"/>
      <c r="H17" s="145"/>
      <c r="I17" s="145"/>
      <c r="J17" s="210"/>
      <c r="K17" s="145"/>
      <c r="L17" s="145"/>
      <c r="M17" s="145"/>
      <c r="N17" s="161"/>
    </row>
    <row r="18" spans="1:14" s="148" customFormat="1" ht="28.15" customHeight="1" x14ac:dyDescent="0.2">
      <c r="A18" s="371" t="s">
        <v>106</v>
      </c>
      <c r="B18" s="372"/>
      <c r="C18" s="372"/>
      <c r="D18" s="373"/>
      <c r="E18" s="146">
        <f t="shared" ref="E18:M18" si="7">E10+E16</f>
        <v>27</v>
      </c>
      <c r="F18" s="229">
        <f t="shared" si="7"/>
        <v>9.4499999999999993</v>
      </c>
      <c r="G18" s="141">
        <f>G10+G16</f>
        <v>214820</v>
      </c>
      <c r="H18" s="141">
        <f t="shared" si="7"/>
        <v>2400</v>
      </c>
      <c r="I18" s="141">
        <f t="shared" si="7"/>
        <v>3420</v>
      </c>
      <c r="J18" s="200">
        <f>J10+J16</f>
        <v>220640</v>
      </c>
      <c r="K18" s="141">
        <f t="shared" si="7"/>
        <v>644490</v>
      </c>
      <c r="L18" s="141">
        <f t="shared" si="7"/>
        <v>7200</v>
      </c>
      <c r="M18" s="141">
        <f t="shared" si="7"/>
        <v>10200</v>
      </c>
      <c r="N18" s="147">
        <f>N10+N16</f>
        <v>661890</v>
      </c>
    </row>
    <row r="20" spans="1:14" ht="16.5" x14ac:dyDescent="0.2">
      <c r="A20" s="263" t="s">
        <v>168</v>
      </c>
      <c r="J20" s="163"/>
      <c r="N20" s="163"/>
    </row>
    <row r="21" spans="1:14" ht="17.25" x14ac:dyDescent="0.25">
      <c r="A21" s="264" t="s">
        <v>170</v>
      </c>
      <c r="B21" s="264"/>
      <c r="C21" s="264"/>
      <c r="D21" s="264"/>
      <c r="E21" s="264"/>
      <c r="N21" s="161"/>
    </row>
    <row r="22" spans="1:14" x14ac:dyDescent="0.2">
      <c r="A22" s="263"/>
    </row>
    <row r="23" spans="1:14" x14ac:dyDescent="0.2">
      <c r="B23" s="276" t="s">
        <v>175</v>
      </c>
      <c r="G23" s="162">
        <v>68200</v>
      </c>
    </row>
  </sheetData>
  <mergeCells count="10">
    <mergeCell ref="A16:D16"/>
    <mergeCell ref="A18:D18"/>
    <mergeCell ref="G2:N2"/>
    <mergeCell ref="G3:J3"/>
    <mergeCell ref="K3:N3"/>
    <mergeCell ref="A10:D10"/>
    <mergeCell ref="B11:N11"/>
    <mergeCell ref="B5:N5"/>
    <mergeCell ref="A9:D9"/>
    <mergeCell ref="A15:D15"/>
  </mergeCells>
  <pageMargins left="0.70866141732283472" right="0.70866141732283472" top="0.78740157480314965" bottom="0.78740157480314965" header="0.31496062992125984" footer="0.31496062992125984"/>
  <pageSetup paperSize="9" scale="65" fitToHeight="0" orientation="landscape" r:id="rId1"/>
  <headerFooter>
    <oddHeader>&amp;R&amp;"Arial,Fett"&amp;14Anlage 3&amp;"Arial,Standard"&amp;12 zu GRDrs 378/2024</oddHeader>
    <oddFooter>&amp;C&amp;"Arial,Standard"Seite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66"/>
  <sheetViews>
    <sheetView tabSelected="1" topLeftCell="A31" zoomScaleNormal="100" workbookViewId="0">
      <selection activeCell="L52" sqref="L52"/>
    </sheetView>
  </sheetViews>
  <sheetFormatPr baseColWidth="10" defaultRowHeight="14.25" x14ac:dyDescent="0.2"/>
  <cols>
    <col min="1" max="1" width="7.42578125" style="132" customWidth="1"/>
    <col min="2" max="2" width="10.5703125" style="132" customWidth="1"/>
    <col min="3" max="3" width="18.85546875" style="132" customWidth="1"/>
    <col min="4" max="4" width="15" style="132" customWidth="1"/>
    <col min="5" max="5" width="14.42578125" style="132" bestFit="1" customWidth="1"/>
    <col min="6" max="6" width="10.42578125" style="132" bestFit="1" customWidth="1"/>
    <col min="7" max="7" width="16.5703125" style="132" customWidth="1"/>
    <col min="8" max="8" width="11" style="132" customWidth="1"/>
    <col min="9" max="9" width="17.5703125" style="132" customWidth="1"/>
    <col min="10" max="10" width="16.28515625" style="132" bestFit="1" customWidth="1"/>
    <col min="11" max="16384" width="11.42578125" style="132"/>
  </cols>
  <sheetData>
    <row r="1" spans="1:10" s="164" customFormat="1" ht="18" x14ac:dyDescent="0.25">
      <c r="A1" s="176" t="s">
        <v>173</v>
      </c>
      <c r="B1" s="176"/>
      <c r="C1" s="176"/>
      <c r="D1" s="177"/>
      <c r="E1" s="177"/>
      <c r="F1" s="177"/>
      <c r="G1" s="176"/>
      <c r="H1" s="256"/>
      <c r="I1" s="256"/>
      <c r="J1" s="256"/>
    </row>
    <row r="3" spans="1:10" s="152" customFormat="1" ht="12" x14ac:dyDescent="0.2">
      <c r="A3" s="181" t="s">
        <v>129</v>
      </c>
      <c r="B3" s="182"/>
      <c r="C3" s="182"/>
      <c r="D3" s="182"/>
      <c r="E3" s="182"/>
      <c r="F3" s="182"/>
      <c r="G3" s="182"/>
      <c r="H3" s="182"/>
      <c r="I3" s="182"/>
      <c r="J3" s="182"/>
    </row>
    <row r="4" spans="1:10" s="152" customFormat="1" ht="12" x14ac:dyDescent="0.2">
      <c r="A4" s="182"/>
      <c r="B4" s="182"/>
      <c r="C4" s="182"/>
      <c r="D4" s="182"/>
      <c r="E4" s="182"/>
      <c r="F4" s="182"/>
      <c r="G4" s="182"/>
      <c r="H4" s="182"/>
      <c r="I4" s="182"/>
      <c r="J4" s="182"/>
    </row>
    <row r="5" spans="1:10" s="152" customFormat="1" ht="12" x14ac:dyDescent="0.2">
      <c r="A5" s="183" t="s">
        <v>172</v>
      </c>
      <c r="B5" s="182"/>
      <c r="C5" s="184"/>
      <c r="D5" s="185"/>
      <c r="E5" s="182"/>
      <c r="F5" s="182"/>
      <c r="G5" s="182"/>
      <c r="H5" s="182"/>
      <c r="I5" s="182"/>
      <c r="J5" s="182"/>
    </row>
    <row r="6" spans="1:10" s="152" customFormat="1" ht="12" x14ac:dyDescent="0.2">
      <c r="A6" s="182"/>
      <c r="B6" s="182">
        <v>3</v>
      </c>
      <c r="C6" s="182" t="s">
        <v>74</v>
      </c>
      <c r="D6" s="186">
        <v>20.67</v>
      </c>
      <c r="E6" s="182"/>
      <c r="F6" s="182"/>
      <c r="G6" s="182"/>
      <c r="H6" s="182"/>
      <c r="I6" s="182"/>
      <c r="J6" s="182"/>
    </row>
    <row r="7" spans="1:10" s="152" customFormat="1" ht="12" x14ac:dyDescent="0.2">
      <c r="A7" s="182"/>
      <c r="B7" s="182">
        <v>4</v>
      </c>
      <c r="C7" s="182" t="s">
        <v>74</v>
      </c>
      <c r="D7" s="186">
        <v>16.079999999999998</v>
      </c>
      <c r="E7" s="182"/>
      <c r="F7" s="182"/>
      <c r="G7" s="182"/>
      <c r="H7" s="182"/>
      <c r="I7" s="182"/>
      <c r="J7" s="182"/>
    </row>
    <row r="8" spans="1:10" s="152" customFormat="1" ht="12" x14ac:dyDescent="0.2">
      <c r="A8" s="182"/>
      <c r="B8" s="182">
        <v>5</v>
      </c>
      <c r="C8" s="182" t="s">
        <v>74</v>
      </c>
      <c r="D8" s="186">
        <v>13.78</v>
      </c>
      <c r="E8" s="182"/>
      <c r="F8" s="182"/>
      <c r="G8" s="182"/>
      <c r="H8" s="182"/>
      <c r="I8" s="182"/>
      <c r="J8" s="182"/>
    </row>
    <row r="9" spans="1:10" s="152" customFormat="1" ht="12" x14ac:dyDescent="0.2">
      <c r="A9" s="182"/>
      <c r="B9" s="182"/>
      <c r="C9" s="182"/>
      <c r="D9" s="182"/>
      <c r="E9" s="182"/>
      <c r="F9" s="182"/>
      <c r="G9" s="182"/>
      <c r="H9" s="182"/>
      <c r="I9" s="182"/>
      <c r="J9" s="182"/>
    </row>
    <row r="10" spans="1:10" s="152" customFormat="1" ht="12" x14ac:dyDescent="0.2">
      <c r="A10" s="182"/>
      <c r="B10" s="182">
        <v>35</v>
      </c>
      <c r="C10" s="182" t="s">
        <v>144</v>
      </c>
      <c r="D10" s="182"/>
      <c r="E10" s="182"/>
      <c r="F10" s="182"/>
      <c r="G10" s="182"/>
      <c r="H10" s="182"/>
      <c r="I10" s="182"/>
      <c r="J10" s="182"/>
    </row>
    <row r="11" spans="1:10" s="152" customFormat="1" ht="12" x14ac:dyDescent="0.2">
      <c r="A11" s="187" t="s">
        <v>75</v>
      </c>
      <c r="B11" s="188">
        <v>4.33</v>
      </c>
      <c r="C11" s="188" t="s">
        <v>123</v>
      </c>
      <c r="D11" s="182"/>
      <c r="E11" s="182"/>
      <c r="F11" s="182"/>
      <c r="G11" s="182"/>
      <c r="H11" s="182"/>
      <c r="I11" s="182"/>
      <c r="J11" s="182"/>
    </row>
    <row r="12" spans="1:10" s="152" customFormat="1" ht="12" x14ac:dyDescent="0.2">
      <c r="A12" s="182"/>
      <c r="B12" s="182">
        <f>B10*B11</f>
        <v>151.55000000000001</v>
      </c>
      <c r="C12" s="182" t="s">
        <v>124</v>
      </c>
      <c r="D12" s="182"/>
      <c r="E12" s="182"/>
      <c r="F12" s="182"/>
      <c r="G12" s="182"/>
      <c r="H12" s="182"/>
      <c r="I12" s="182"/>
      <c r="J12" s="182"/>
    </row>
    <row r="13" spans="1:10" s="152" customFormat="1" ht="12" x14ac:dyDescent="0.2">
      <c r="A13" s="187" t="s">
        <v>75</v>
      </c>
      <c r="B13" s="188">
        <v>12</v>
      </c>
      <c r="C13" s="188" t="s">
        <v>76</v>
      </c>
      <c r="D13" s="182"/>
      <c r="E13" s="182"/>
      <c r="F13" s="182"/>
      <c r="G13" s="182"/>
      <c r="H13" s="182"/>
      <c r="I13" s="182"/>
      <c r="J13" s="182"/>
    </row>
    <row r="14" spans="1:10" s="152" customFormat="1" ht="12" x14ac:dyDescent="0.2">
      <c r="A14" s="182"/>
      <c r="B14" s="189">
        <f>B12*B13</f>
        <v>1818.6000000000001</v>
      </c>
      <c r="C14" s="182" t="s">
        <v>125</v>
      </c>
      <c r="D14" s="182"/>
      <c r="E14" s="182"/>
      <c r="F14" s="182"/>
      <c r="G14" s="182"/>
      <c r="H14" s="182"/>
      <c r="I14" s="182"/>
      <c r="J14" s="182"/>
    </row>
    <row r="15" spans="1:10" s="150" customFormat="1" x14ac:dyDescent="0.2">
      <c r="A15" s="190"/>
      <c r="B15" s="190"/>
      <c r="C15" s="190"/>
      <c r="D15" s="190"/>
      <c r="E15" s="190"/>
      <c r="F15" s="190"/>
      <c r="G15" s="190"/>
      <c r="H15" s="257"/>
      <c r="I15" s="190"/>
      <c r="J15" s="190"/>
    </row>
    <row r="16" spans="1:10" s="152" customFormat="1" ht="12" x14ac:dyDescent="0.2">
      <c r="A16" s="191" t="s">
        <v>126</v>
      </c>
      <c r="B16" s="182"/>
      <c r="C16" s="182"/>
      <c r="D16" s="182"/>
      <c r="E16" s="182"/>
      <c r="F16" s="182"/>
      <c r="G16" s="182"/>
      <c r="H16" s="182"/>
      <c r="I16" s="182"/>
      <c r="J16" s="182"/>
    </row>
    <row r="17" spans="1:11" s="152" customFormat="1" ht="12" x14ac:dyDescent="0.2">
      <c r="A17" s="182"/>
      <c r="B17" s="182"/>
      <c r="C17" s="182"/>
      <c r="D17" s="182"/>
      <c r="E17" s="182"/>
      <c r="F17" s="182"/>
      <c r="G17" s="182"/>
      <c r="H17" s="182"/>
      <c r="I17" s="182"/>
      <c r="J17" s="182"/>
    </row>
    <row r="18" spans="1:11" s="152" customFormat="1" ht="24" x14ac:dyDescent="0.2">
      <c r="A18" s="192" t="s">
        <v>127</v>
      </c>
      <c r="B18" s="192" t="s">
        <v>125</v>
      </c>
      <c r="C18" s="192" t="s">
        <v>122</v>
      </c>
      <c r="D18" s="192" t="s">
        <v>145</v>
      </c>
      <c r="E18" s="193" t="s">
        <v>128</v>
      </c>
      <c r="F18" s="182"/>
      <c r="G18" s="182"/>
      <c r="H18" s="194"/>
      <c r="I18" s="182"/>
      <c r="J18" s="182"/>
    </row>
    <row r="19" spans="1:11" s="152" customFormat="1" ht="12" x14ac:dyDescent="0.2">
      <c r="A19" s="182">
        <f>B6</f>
        <v>3</v>
      </c>
      <c r="B19" s="189">
        <f>$B$14</f>
        <v>1818.6000000000001</v>
      </c>
      <c r="C19" s="189">
        <f>B19*A19</f>
        <v>5455.8</v>
      </c>
      <c r="D19" s="194">
        <f>D6</f>
        <v>20.67</v>
      </c>
      <c r="E19" s="195">
        <f>ROUND(C19*D19,0)</f>
        <v>112771</v>
      </c>
      <c r="F19" s="182"/>
      <c r="G19" s="182"/>
      <c r="H19" s="182"/>
      <c r="I19" s="182"/>
      <c r="J19" s="182"/>
    </row>
    <row r="20" spans="1:11" s="152" customFormat="1" ht="12" x14ac:dyDescent="0.2">
      <c r="A20" s="182">
        <f>B7</f>
        <v>4</v>
      </c>
      <c r="B20" s="189">
        <f t="shared" ref="B20:B21" si="0">$B$14</f>
        <v>1818.6000000000001</v>
      </c>
      <c r="C20" s="189">
        <f t="shared" ref="C20" si="1">B20*A20</f>
        <v>7274.4000000000005</v>
      </c>
      <c r="D20" s="194">
        <f>D7</f>
        <v>16.079999999999998</v>
      </c>
      <c r="E20" s="195">
        <f>ROUND(C20*D20,0)</f>
        <v>116972</v>
      </c>
      <c r="F20" s="182"/>
      <c r="G20" s="182"/>
      <c r="H20" s="194"/>
      <c r="I20" s="182"/>
      <c r="J20" s="182"/>
    </row>
    <row r="21" spans="1:11" s="152" customFormat="1" ht="12" x14ac:dyDescent="0.2">
      <c r="A21" s="182">
        <f>B8</f>
        <v>5</v>
      </c>
      <c r="B21" s="189">
        <f t="shared" si="0"/>
        <v>1818.6000000000001</v>
      </c>
      <c r="C21" s="189">
        <f>B21*A21</f>
        <v>9093</v>
      </c>
      <c r="D21" s="194">
        <f>D8</f>
        <v>13.78</v>
      </c>
      <c r="E21" s="195">
        <f>ROUND(C21*D21,0)</f>
        <v>125302</v>
      </c>
      <c r="F21" s="182"/>
      <c r="G21" s="182"/>
      <c r="H21" s="182"/>
      <c r="I21" s="182"/>
      <c r="J21" s="182"/>
    </row>
    <row r="22" spans="1:11" x14ac:dyDescent="0.2">
      <c r="J22" s="134"/>
    </row>
    <row r="23" spans="1:11" s="151" customFormat="1" ht="15" x14ac:dyDescent="0.25">
      <c r="A23" s="154" t="s">
        <v>138</v>
      </c>
      <c r="B23" s="154"/>
      <c r="C23" s="154"/>
      <c r="D23" s="154"/>
      <c r="E23" s="154"/>
      <c r="F23" s="154"/>
      <c r="G23" s="154"/>
      <c r="H23" s="154"/>
      <c r="I23" s="154"/>
      <c r="J23" s="154"/>
    </row>
    <row r="25" spans="1:11" ht="14.25" customHeight="1" x14ac:dyDescent="0.2">
      <c r="A25" s="165" t="s">
        <v>79</v>
      </c>
      <c r="B25" s="404" t="s">
        <v>130</v>
      </c>
      <c r="C25" s="404"/>
      <c r="D25" s="235" t="s">
        <v>146</v>
      </c>
      <c r="E25" s="211" t="s">
        <v>151</v>
      </c>
      <c r="F25" s="249" t="s">
        <v>147</v>
      </c>
      <c r="G25" s="215" t="s">
        <v>148</v>
      </c>
      <c r="H25" s="249" t="s">
        <v>147</v>
      </c>
      <c r="I25" s="215" t="s">
        <v>148</v>
      </c>
      <c r="J25" s="215" t="s">
        <v>162</v>
      </c>
    </row>
    <row r="26" spans="1:11" ht="14.25" customHeight="1" x14ac:dyDescent="0.2">
      <c r="A26" s="234"/>
      <c r="B26" s="239"/>
      <c r="C26" s="240"/>
      <c r="D26" s="240"/>
      <c r="E26" s="241"/>
      <c r="F26" s="400" t="s">
        <v>154</v>
      </c>
      <c r="G26" s="401"/>
      <c r="H26" s="402" t="s">
        <v>155</v>
      </c>
      <c r="I26" s="403"/>
      <c r="J26" s="251" t="s">
        <v>163</v>
      </c>
      <c r="K26" s="252"/>
    </row>
    <row r="27" spans="1:11" x14ac:dyDescent="0.2">
      <c r="A27" s="170">
        <v>6</v>
      </c>
      <c r="B27" s="169" t="s">
        <v>93</v>
      </c>
      <c r="C27" s="168"/>
      <c r="D27" s="168">
        <f>'Anlage 2 - KS+ neu'!E7</f>
        <v>5</v>
      </c>
      <c r="E27" s="212">
        <f>$E$21/12*4</f>
        <v>41767.333333333336</v>
      </c>
      <c r="F27" s="168">
        <f>'Anlage 2 - KS+ neu'!K7</f>
        <v>5</v>
      </c>
      <c r="G27" s="216">
        <f>E21/12*8</f>
        <v>83534.666666666672</v>
      </c>
      <c r="H27" s="168">
        <f>'Anlage 2 - KS+ neu'!M7</f>
        <v>5</v>
      </c>
      <c r="I27" s="216">
        <f>E21/12*4</f>
        <v>41767.333333333336</v>
      </c>
      <c r="J27" s="216">
        <f>G27+I27</f>
        <v>125302</v>
      </c>
    </row>
    <row r="28" spans="1:11" x14ac:dyDescent="0.2">
      <c r="A28" s="170">
        <v>7</v>
      </c>
      <c r="B28" s="231" t="s">
        <v>158</v>
      </c>
      <c r="C28" s="219"/>
      <c r="D28" s="219">
        <f>'Anlage 2 - KS+ neu'!E8</f>
        <v>5</v>
      </c>
      <c r="E28" s="212">
        <f>$E$21/12*4</f>
        <v>41767.333333333336</v>
      </c>
      <c r="F28" s="168">
        <f>'Anlage 2 - KS+ neu'!K8</f>
        <v>5</v>
      </c>
      <c r="G28" s="216">
        <f>E21/12*8</f>
        <v>83534.666666666672</v>
      </c>
      <c r="H28" s="168">
        <f>'Anlage 2 - KS+ neu'!M8</f>
        <v>5</v>
      </c>
      <c r="I28" s="216">
        <f>E21/12*4</f>
        <v>41767.333333333336</v>
      </c>
      <c r="J28" s="216">
        <f>G28+I28</f>
        <v>125302</v>
      </c>
    </row>
    <row r="29" spans="1:11" x14ac:dyDescent="0.2">
      <c r="A29" s="170">
        <v>8</v>
      </c>
      <c r="B29" s="169" t="s">
        <v>137</v>
      </c>
      <c r="C29" s="168"/>
      <c r="D29" s="168">
        <f>'Anlage 2 - KS+ neu'!E9</f>
        <v>5</v>
      </c>
      <c r="E29" s="212">
        <f>E21/12*4</f>
        <v>41767.333333333336</v>
      </c>
      <c r="F29" s="168">
        <f>'Anlage 2 - KS+ neu'!K9</f>
        <v>5</v>
      </c>
      <c r="G29" s="216">
        <f>E21/12*8</f>
        <v>83534.666666666672</v>
      </c>
      <c r="H29" s="168">
        <f>'Anlage 2 - KS+ neu'!M9</f>
        <v>5</v>
      </c>
      <c r="I29" s="216">
        <f>E21/12*4</f>
        <v>41767.333333333336</v>
      </c>
      <c r="J29" s="216">
        <f>G29+I29</f>
        <v>125302</v>
      </c>
    </row>
    <row r="30" spans="1:11" ht="15" hidden="1" x14ac:dyDescent="0.25">
      <c r="A30" s="394" t="s">
        <v>164</v>
      </c>
      <c r="B30" s="395"/>
      <c r="C30" s="396"/>
      <c r="D30" s="174">
        <f t="shared" ref="D30:J30" si="2">SUM(D27:D29)</f>
        <v>15</v>
      </c>
      <c r="E30" s="260">
        <f>SUM(E27:E29)</f>
        <v>125302</v>
      </c>
      <c r="F30" s="233">
        <f t="shared" si="2"/>
        <v>15</v>
      </c>
      <c r="G30" s="261">
        <f t="shared" si="2"/>
        <v>250604</v>
      </c>
      <c r="H30" s="233">
        <f t="shared" si="2"/>
        <v>15</v>
      </c>
      <c r="I30" s="261">
        <f t="shared" si="2"/>
        <v>125302</v>
      </c>
      <c r="J30" s="261">
        <f t="shared" si="2"/>
        <v>375906</v>
      </c>
    </row>
    <row r="31" spans="1:11" ht="15" thickBot="1" x14ac:dyDescent="0.25">
      <c r="A31" s="171" t="s">
        <v>135</v>
      </c>
      <c r="B31" s="175">
        <v>0.06</v>
      </c>
      <c r="C31" s="266" t="s">
        <v>171</v>
      </c>
      <c r="D31" s="172"/>
      <c r="E31" s="213">
        <f>ROUND(-E30*$B$31,0)</f>
        <v>-7518</v>
      </c>
      <c r="F31" s="172"/>
      <c r="G31" s="218">
        <f>-G30*$B$37</f>
        <v>-15036.24</v>
      </c>
      <c r="H31" s="173"/>
      <c r="I31" s="218">
        <f>-I30*$B$37</f>
        <v>-7518.12</v>
      </c>
      <c r="J31" s="218">
        <f>-J30*$B$37</f>
        <v>-22554.36</v>
      </c>
    </row>
    <row r="32" spans="1:11" ht="15" x14ac:dyDescent="0.25">
      <c r="A32" s="267" t="s">
        <v>190</v>
      </c>
      <c r="B32" s="267"/>
      <c r="C32" s="267"/>
      <c r="D32" s="267">
        <f>SUM(D27:D29)</f>
        <v>15</v>
      </c>
      <c r="E32" s="268">
        <f>SUM(E30:E31)</f>
        <v>117784</v>
      </c>
      <c r="F32" s="267">
        <f>SUM(F27:F29)</f>
        <v>15</v>
      </c>
      <c r="G32" s="253">
        <f>SUM(G30:G31)</f>
        <v>235567.76</v>
      </c>
      <c r="H32" s="267">
        <f>SUM(H27:H29)</f>
        <v>15</v>
      </c>
      <c r="I32" s="253">
        <f>SUM(I30:I31)</f>
        <v>117783.88</v>
      </c>
      <c r="J32" s="253">
        <f>SUM(J30:J31)</f>
        <v>353351.64</v>
      </c>
    </row>
    <row r="33" spans="1:10" x14ac:dyDescent="0.2">
      <c r="A33" s="170">
        <v>1</v>
      </c>
      <c r="B33" s="236" t="s">
        <v>101</v>
      </c>
      <c r="C33" s="237"/>
      <c r="D33" s="238">
        <f>'Anlage 2 - KS+ neu'!E13</f>
        <v>3</v>
      </c>
      <c r="E33" s="212">
        <f>$E$19/12*4</f>
        <v>37590.333333333336</v>
      </c>
      <c r="F33" s="168">
        <f>'Anlage 2 - KS+ neu'!K13</f>
        <v>3</v>
      </c>
      <c r="G33" s="250">
        <f>E19/12*8</f>
        <v>75180.666666666672</v>
      </c>
      <c r="H33" s="168">
        <f>'Anlage 2 - KS+ neu'!M13</f>
        <v>4</v>
      </c>
      <c r="I33" s="216">
        <f>E20/12*4</f>
        <v>38990.666666666664</v>
      </c>
      <c r="J33" s="216">
        <f>G33+I33</f>
        <v>114171.33333333334</v>
      </c>
    </row>
    <row r="34" spans="1:10" x14ac:dyDescent="0.2">
      <c r="A34" s="180">
        <v>9</v>
      </c>
      <c r="B34" s="405" t="s">
        <v>143</v>
      </c>
      <c r="C34" s="406"/>
      <c r="D34" s="179">
        <f>'Anlage 2 - KS+ neu'!E14</f>
        <v>3</v>
      </c>
      <c r="E34" s="212">
        <f>$E$19/12*4</f>
        <v>37590.333333333336</v>
      </c>
      <c r="F34" s="168">
        <f>'Anlage 2 - KS+ neu'!K14</f>
        <v>3</v>
      </c>
      <c r="G34" s="217">
        <f>E19/12*8</f>
        <v>75180.666666666672</v>
      </c>
      <c r="H34" s="168">
        <f>'Anlage 2 - KS+ neu'!M14</f>
        <v>4</v>
      </c>
      <c r="I34" s="217">
        <f>E20/12*4</f>
        <v>38990.666666666664</v>
      </c>
      <c r="J34" s="217">
        <f t="shared" ref="J34:J35" si="3">G34+I34</f>
        <v>114171.33333333334</v>
      </c>
    </row>
    <row r="35" spans="1:10" x14ac:dyDescent="0.2">
      <c r="A35" s="170">
        <v>11</v>
      </c>
      <c r="B35" s="254" t="s">
        <v>104</v>
      </c>
      <c r="C35" s="168"/>
      <c r="D35" s="168">
        <f>'Anlage 2 - KS+ neu'!E15</f>
        <v>4</v>
      </c>
      <c r="E35" s="212">
        <f>$E$20/12*4</f>
        <v>38990.666666666664</v>
      </c>
      <c r="F35" s="168">
        <f>'Anlage 2 - KS+ neu'!K15</f>
        <v>4</v>
      </c>
      <c r="G35" s="216">
        <f>E20/12*8</f>
        <v>77981.333333333328</v>
      </c>
      <c r="H35" s="168">
        <f>'Anlage 2 - KS+ neu'!M15</f>
        <v>4</v>
      </c>
      <c r="I35" s="216">
        <f>E20/12*4</f>
        <v>38990.666666666664</v>
      </c>
      <c r="J35" s="216">
        <f t="shared" si="3"/>
        <v>116972</v>
      </c>
    </row>
    <row r="36" spans="1:10" ht="15" hidden="1" x14ac:dyDescent="0.25">
      <c r="A36" s="394" t="s">
        <v>165</v>
      </c>
      <c r="B36" s="395"/>
      <c r="C36" s="396"/>
      <c r="D36" s="174">
        <f t="shared" ref="D36:J36" si="4">SUM(D33:D35)</f>
        <v>10</v>
      </c>
      <c r="E36" s="260">
        <f t="shared" si="4"/>
        <v>114171.33333333334</v>
      </c>
      <c r="F36" s="233">
        <f t="shared" si="4"/>
        <v>10</v>
      </c>
      <c r="G36" s="261">
        <f t="shared" si="4"/>
        <v>228342.66666666669</v>
      </c>
      <c r="H36" s="233">
        <f t="shared" si="4"/>
        <v>12</v>
      </c>
      <c r="I36" s="261">
        <f t="shared" si="4"/>
        <v>116972</v>
      </c>
      <c r="J36" s="261">
        <f t="shared" si="4"/>
        <v>345314.66666666669</v>
      </c>
    </row>
    <row r="37" spans="1:10" ht="15" thickBot="1" x14ac:dyDescent="0.25">
      <c r="A37" s="171" t="s">
        <v>135</v>
      </c>
      <c r="B37" s="175">
        <v>0.06</v>
      </c>
      <c r="C37" s="266" t="s">
        <v>171</v>
      </c>
      <c r="D37" s="172"/>
      <c r="E37" s="213">
        <f>ROUND(-E36*$B$37,0)</f>
        <v>-6850</v>
      </c>
      <c r="F37" s="172"/>
      <c r="G37" s="216">
        <f>ROUND(-G36*$B$37,0)</f>
        <v>-13701</v>
      </c>
      <c r="H37" s="173"/>
      <c r="I37" s="216">
        <f>ROUND(-I36*$B$37,0)</f>
        <v>-7018</v>
      </c>
      <c r="J37" s="216">
        <f>ROUND(-J36*$B$37,0)</f>
        <v>-20719</v>
      </c>
    </row>
    <row r="38" spans="1:10" ht="15" x14ac:dyDescent="0.25">
      <c r="A38" s="267" t="s">
        <v>191</v>
      </c>
      <c r="B38" s="267"/>
      <c r="C38" s="267"/>
      <c r="D38" s="267">
        <f>SUM(D33:D35)</f>
        <v>10</v>
      </c>
      <c r="E38" s="268">
        <f>SUM(E36:E37)</f>
        <v>107321.33333333334</v>
      </c>
      <c r="F38" s="267">
        <f>SUM(F33:F35)</f>
        <v>10</v>
      </c>
      <c r="G38" s="253">
        <f>SUM(G36:G37)</f>
        <v>214641.66666666669</v>
      </c>
      <c r="H38" s="267">
        <f>SUM(H33:H35)</f>
        <v>12</v>
      </c>
      <c r="I38" s="253">
        <f>SUM(I36:I37)</f>
        <v>109954</v>
      </c>
      <c r="J38" s="253">
        <f>SUM(J36:J37)</f>
        <v>324595.66666666669</v>
      </c>
    </row>
    <row r="39" spans="1:10" ht="15" x14ac:dyDescent="0.25">
      <c r="A39" s="196" t="s">
        <v>174</v>
      </c>
      <c r="B39" s="196"/>
      <c r="C39" s="196"/>
      <c r="D39" s="196"/>
      <c r="E39" s="214">
        <f>SUM(E38,E32)</f>
        <v>225105.33333333334</v>
      </c>
      <c r="F39" s="238"/>
      <c r="G39" s="269">
        <f>SUM(G38,G32)</f>
        <v>450209.4266666667</v>
      </c>
      <c r="H39" s="197"/>
      <c r="I39" s="269">
        <f>SUM(I38,I32)</f>
        <v>227737.88</v>
      </c>
      <c r="J39" s="269">
        <f>SUM(J38,J32)</f>
        <v>677947.30666666664</v>
      </c>
    </row>
    <row r="40" spans="1:10" x14ac:dyDescent="0.2">
      <c r="A40" s="152" t="s">
        <v>161</v>
      </c>
    </row>
    <row r="42" spans="1:10" s="151" customFormat="1" ht="15" x14ac:dyDescent="0.25">
      <c r="A42" s="153" t="s">
        <v>139</v>
      </c>
      <c r="B42" s="153"/>
      <c r="C42" s="153"/>
      <c r="D42" s="153"/>
      <c r="E42" s="153"/>
      <c r="F42" s="153"/>
      <c r="G42" s="153"/>
      <c r="H42" s="153"/>
      <c r="I42" s="153"/>
      <c r="J42" s="153"/>
    </row>
    <row r="44" spans="1:10" x14ac:dyDescent="0.2">
      <c r="A44" s="165" t="s">
        <v>79</v>
      </c>
      <c r="B44" s="407" t="s">
        <v>130</v>
      </c>
      <c r="C44" s="407"/>
      <c r="D44" s="227" t="s">
        <v>146</v>
      </c>
      <c r="E44" s="211" t="s">
        <v>151</v>
      </c>
      <c r="F44" s="232" t="s">
        <v>147</v>
      </c>
      <c r="G44" s="215" t="s">
        <v>148</v>
      </c>
    </row>
    <row r="45" spans="1:10" x14ac:dyDescent="0.2">
      <c r="A45" s="166">
        <v>2</v>
      </c>
      <c r="B45" s="167" t="s">
        <v>131</v>
      </c>
      <c r="C45" s="167"/>
      <c r="D45" s="168">
        <v>5</v>
      </c>
      <c r="E45" s="212">
        <f>$E$21/12*4</f>
        <v>41767.333333333336</v>
      </c>
      <c r="F45" s="168">
        <f>D45</f>
        <v>5</v>
      </c>
      <c r="G45" s="216">
        <f>$E$21</f>
        <v>125302</v>
      </c>
    </row>
    <row r="46" spans="1:10" x14ac:dyDescent="0.2">
      <c r="A46" s="166">
        <v>10</v>
      </c>
      <c r="B46" s="169" t="s">
        <v>112</v>
      </c>
      <c r="C46" s="168"/>
      <c r="D46" s="168">
        <v>5</v>
      </c>
      <c r="E46" s="212">
        <f>$E$21/12*4</f>
        <v>41767.333333333336</v>
      </c>
      <c r="F46" s="168">
        <f>D46</f>
        <v>5</v>
      </c>
      <c r="G46" s="216">
        <f>$E$21</f>
        <v>125302</v>
      </c>
    </row>
    <row r="47" spans="1:10" x14ac:dyDescent="0.2">
      <c r="A47" s="166">
        <v>12</v>
      </c>
      <c r="B47" s="169" t="s">
        <v>108</v>
      </c>
      <c r="C47" s="168"/>
      <c r="D47" s="168">
        <v>5</v>
      </c>
      <c r="E47" s="212">
        <f>$E$21/12*4</f>
        <v>41767.333333333336</v>
      </c>
      <c r="F47" s="168">
        <f>D47</f>
        <v>5</v>
      </c>
      <c r="G47" s="216">
        <f>$E$21</f>
        <v>125302</v>
      </c>
    </row>
    <row r="48" spans="1:10" ht="15" hidden="1" x14ac:dyDescent="0.25">
      <c r="A48" s="394" t="s">
        <v>164</v>
      </c>
      <c r="B48" s="395"/>
      <c r="C48" s="396"/>
      <c r="D48" s="174">
        <f t="shared" ref="D48" si="5">SUM(D45:D47)</f>
        <v>15</v>
      </c>
      <c r="E48" s="260">
        <f>SUM(E45:E47)</f>
        <v>125302</v>
      </c>
      <c r="F48" s="233">
        <f t="shared" ref="F48" si="6">SUM(F45:F47)</f>
        <v>15</v>
      </c>
      <c r="G48" s="261">
        <f t="shared" ref="G48" si="7">SUM(G45:G47)</f>
        <v>375906</v>
      </c>
    </row>
    <row r="49" spans="1:10" ht="15" thickBot="1" x14ac:dyDescent="0.25">
      <c r="A49" s="171" t="s">
        <v>135</v>
      </c>
      <c r="B49" s="175">
        <v>0.06</v>
      </c>
      <c r="C49" s="171" t="s">
        <v>136</v>
      </c>
      <c r="D49" s="172"/>
      <c r="E49" s="213">
        <f>-E48*$B$49</f>
        <v>-7518.12</v>
      </c>
      <c r="F49" s="173"/>
      <c r="G49" s="218">
        <f>-G48*$B$49</f>
        <v>-22554.36</v>
      </c>
    </row>
    <row r="50" spans="1:10" ht="15" x14ac:dyDescent="0.25">
      <c r="A50" s="267" t="s">
        <v>190</v>
      </c>
      <c r="B50" s="267"/>
      <c r="C50" s="267"/>
      <c r="D50" s="267">
        <f>SUM(D45:D47)</f>
        <v>15</v>
      </c>
      <c r="E50" s="268">
        <f>SUM(E48:E49)</f>
        <v>117783.88</v>
      </c>
      <c r="F50" s="267">
        <f>SUM(F45:F47)</f>
        <v>15</v>
      </c>
      <c r="G50" s="253">
        <f>SUM(G48:G49)</f>
        <v>353351.64</v>
      </c>
    </row>
    <row r="51" spans="1:10" x14ac:dyDescent="0.2">
      <c r="A51" s="166">
        <v>3</v>
      </c>
      <c r="B51" s="169" t="s">
        <v>132</v>
      </c>
      <c r="C51" s="168"/>
      <c r="D51" s="168">
        <v>4</v>
      </c>
      <c r="E51" s="212">
        <f>$E$20/12*4</f>
        <v>38990.666666666664</v>
      </c>
      <c r="F51" s="168">
        <f t="shared" ref="F51:F53" si="8">D51</f>
        <v>4</v>
      </c>
      <c r="G51" s="216">
        <f>$E$20</f>
        <v>116972</v>
      </c>
    </row>
    <row r="52" spans="1:10" x14ac:dyDescent="0.2">
      <c r="A52" s="166">
        <v>4</v>
      </c>
      <c r="B52" s="169" t="s">
        <v>133</v>
      </c>
      <c r="C52" s="168"/>
      <c r="D52" s="168">
        <v>3</v>
      </c>
      <c r="E52" s="212">
        <f>$E$19/12*4</f>
        <v>37590.333333333336</v>
      </c>
      <c r="F52" s="168">
        <f t="shared" si="8"/>
        <v>3</v>
      </c>
      <c r="G52" s="216">
        <f>$E$19</f>
        <v>112771</v>
      </c>
    </row>
    <row r="53" spans="1:10" x14ac:dyDescent="0.2">
      <c r="A53" s="166">
        <v>5</v>
      </c>
      <c r="B53" s="169" t="s">
        <v>134</v>
      </c>
      <c r="C53" s="168"/>
      <c r="D53" s="168">
        <v>5</v>
      </c>
      <c r="E53" s="212">
        <f>$E$21/12*4</f>
        <v>41767.333333333336</v>
      </c>
      <c r="F53" s="168">
        <f t="shared" si="8"/>
        <v>5</v>
      </c>
      <c r="G53" s="216">
        <f>$E$21</f>
        <v>125302</v>
      </c>
    </row>
    <row r="54" spans="1:10" ht="15" hidden="1" x14ac:dyDescent="0.25">
      <c r="A54" s="394" t="s">
        <v>165</v>
      </c>
      <c r="B54" s="395"/>
      <c r="C54" s="396"/>
      <c r="D54" s="174">
        <f t="shared" ref="D54" si="9">SUM(D51:D53)</f>
        <v>12</v>
      </c>
      <c r="E54" s="260">
        <f>SUM(E51:E53)</f>
        <v>118348.33333333334</v>
      </c>
      <c r="F54" s="233">
        <f t="shared" ref="F54" si="10">SUM(F51:F53)</f>
        <v>12</v>
      </c>
      <c r="G54" s="261">
        <f>SUM(G51:G53)</f>
        <v>355045</v>
      </c>
    </row>
    <row r="55" spans="1:10" ht="15" thickBot="1" x14ac:dyDescent="0.25">
      <c r="A55" s="171" t="s">
        <v>135</v>
      </c>
      <c r="B55" s="175">
        <v>0.06</v>
      </c>
      <c r="C55" s="171" t="s">
        <v>136</v>
      </c>
      <c r="D55" s="172"/>
      <c r="E55" s="213">
        <f>-E54*$B$55</f>
        <v>-7100.9000000000005</v>
      </c>
      <c r="F55" s="173"/>
      <c r="G55" s="218">
        <f>-G54*$B$55</f>
        <v>-21302.7</v>
      </c>
    </row>
    <row r="56" spans="1:10" ht="15" x14ac:dyDescent="0.25">
      <c r="A56" s="267" t="s">
        <v>191</v>
      </c>
      <c r="B56" s="267"/>
      <c r="C56" s="267"/>
      <c r="D56" s="267">
        <f>SUM(D51:D53)</f>
        <v>12</v>
      </c>
      <c r="E56" s="268">
        <f>SUM(E54:E55)</f>
        <v>111247.43333333335</v>
      </c>
      <c r="F56" s="267">
        <f>SUM(F51:F53)</f>
        <v>12</v>
      </c>
      <c r="G56" s="253">
        <f>SUM(G54:G55)</f>
        <v>333742.3</v>
      </c>
    </row>
    <row r="57" spans="1:10" ht="15" x14ac:dyDescent="0.25">
      <c r="A57" s="196" t="s">
        <v>174</v>
      </c>
      <c r="B57" s="196"/>
      <c r="C57" s="196"/>
      <c r="D57" s="196"/>
      <c r="E57" s="214">
        <f>SUM(E50,E56)</f>
        <v>229031.31333333335</v>
      </c>
      <c r="F57" s="197"/>
      <c r="G57" s="269">
        <f>SUM(G50,G56)</f>
        <v>687093.94</v>
      </c>
    </row>
    <row r="58" spans="1:10" x14ac:dyDescent="0.2">
      <c r="A58" s="152" t="s">
        <v>161</v>
      </c>
    </row>
    <row r="60" spans="1:10" ht="15" x14ac:dyDescent="0.25">
      <c r="A60" s="262" t="s">
        <v>166</v>
      </c>
      <c r="B60" s="262"/>
      <c r="C60" s="262"/>
      <c r="D60" s="262"/>
      <c r="E60" s="262"/>
      <c r="F60" s="262"/>
      <c r="G60" s="262"/>
      <c r="H60" s="262"/>
      <c r="I60" s="262"/>
      <c r="J60" s="262"/>
    </row>
    <row r="62" spans="1:10" x14ac:dyDescent="0.2">
      <c r="D62" s="265" t="s">
        <v>146</v>
      </c>
      <c r="E62" s="211" t="s">
        <v>151</v>
      </c>
      <c r="F62" s="249" t="s">
        <v>147</v>
      </c>
      <c r="G62" s="215" t="s">
        <v>148</v>
      </c>
      <c r="H62" s="249" t="s">
        <v>147</v>
      </c>
      <c r="I62" s="215" t="s">
        <v>148</v>
      </c>
      <c r="J62" s="215" t="s">
        <v>162</v>
      </c>
    </row>
    <row r="63" spans="1:10" x14ac:dyDescent="0.2">
      <c r="F63" s="400" t="s">
        <v>154</v>
      </c>
      <c r="G63" s="401"/>
      <c r="H63" s="402" t="s">
        <v>155</v>
      </c>
      <c r="I63" s="403"/>
      <c r="J63" s="251" t="s">
        <v>163</v>
      </c>
    </row>
    <row r="64" spans="1:10" ht="15" customHeight="1" x14ac:dyDescent="0.25">
      <c r="A64" s="394" t="s">
        <v>164</v>
      </c>
      <c r="B64" s="395"/>
      <c r="C64" s="396"/>
      <c r="D64" s="270">
        <f>D32+D50</f>
        <v>30</v>
      </c>
      <c r="E64" s="274">
        <f>E32+E50</f>
        <v>235567.88</v>
      </c>
      <c r="F64" s="270">
        <f>F32+F50</f>
        <v>30</v>
      </c>
      <c r="G64" s="216">
        <f>G32+G50/12*8</f>
        <v>471135.52</v>
      </c>
      <c r="H64" s="168">
        <f>H32+F50</f>
        <v>30</v>
      </c>
      <c r="I64" s="216">
        <f>I32+G50/12*4</f>
        <v>235567.76</v>
      </c>
      <c r="J64" s="275">
        <f>G64+I64</f>
        <v>706703.28</v>
      </c>
    </row>
    <row r="65" spans="1:10" ht="15" x14ac:dyDescent="0.25">
      <c r="A65" s="394" t="s">
        <v>165</v>
      </c>
      <c r="B65" s="395"/>
      <c r="C65" s="396"/>
      <c r="D65" s="271">
        <f>D38+D56</f>
        <v>22</v>
      </c>
      <c r="E65" s="274">
        <f>SUM(E38,E56)</f>
        <v>218568.76666666669</v>
      </c>
      <c r="F65" s="270">
        <f>F38+F56</f>
        <v>22</v>
      </c>
      <c r="G65" s="216">
        <f>G38+G56/12*8</f>
        <v>437136.53333333333</v>
      </c>
      <c r="H65" s="168">
        <f>H38+F56</f>
        <v>24</v>
      </c>
      <c r="I65" s="216">
        <f>I38+G56/12*4</f>
        <v>221201.43333333335</v>
      </c>
      <c r="J65" s="275">
        <f>G65+I65</f>
        <v>658337.96666666667</v>
      </c>
    </row>
    <row r="66" spans="1:10" s="151" customFormat="1" ht="15" x14ac:dyDescent="0.25">
      <c r="A66" s="397" t="s">
        <v>88</v>
      </c>
      <c r="B66" s="398"/>
      <c r="C66" s="399"/>
      <c r="D66" s="196">
        <f t="shared" ref="D66:J66" si="11">SUM(D64:D65)</f>
        <v>52</v>
      </c>
      <c r="E66" s="214">
        <f t="shared" si="11"/>
        <v>454136.64666666673</v>
      </c>
      <c r="F66" s="272">
        <f t="shared" si="11"/>
        <v>52</v>
      </c>
      <c r="G66" s="273">
        <f t="shared" si="11"/>
        <v>908272.05333333334</v>
      </c>
      <c r="H66" s="272">
        <f t="shared" si="11"/>
        <v>54</v>
      </c>
      <c r="I66" s="273">
        <f t="shared" si="11"/>
        <v>456769.19333333336</v>
      </c>
      <c r="J66" s="273">
        <f t="shared" si="11"/>
        <v>1365041.2466666666</v>
      </c>
    </row>
  </sheetData>
  <mergeCells count="14">
    <mergeCell ref="H63:I63"/>
    <mergeCell ref="H26:I26"/>
    <mergeCell ref="B25:C25"/>
    <mergeCell ref="B34:C34"/>
    <mergeCell ref="B44:C44"/>
    <mergeCell ref="A30:C30"/>
    <mergeCell ref="A36:C36"/>
    <mergeCell ref="A64:C64"/>
    <mergeCell ref="A65:C65"/>
    <mergeCell ref="A66:C66"/>
    <mergeCell ref="F26:G26"/>
    <mergeCell ref="A48:C48"/>
    <mergeCell ref="A54:C54"/>
    <mergeCell ref="F63:G63"/>
  </mergeCells>
  <pageMargins left="0.7" right="0.7" top="0.78740157499999996" bottom="0.78740157499999996" header="0.3" footer="0.3"/>
  <pageSetup paperSize="9" scale="63" fitToHeight="0" orientation="portrait" r:id="rId1"/>
  <headerFooter>
    <oddHeader>&amp;R&amp;"Arial,Fett"&amp;14Anlage 4 &amp;"Arial,Standard"&amp;11zu GRDrs 378/2024</oddHeader>
    <oddFooter>&amp;C&amp;"Arial,Standard"Seite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workbookViewId="0">
      <selection activeCell="A3" sqref="A3:C16"/>
    </sheetView>
  </sheetViews>
  <sheetFormatPr baseColWidth="10" defaultRowHeight="15" x14ac:dyDescent="0.25"/>
  <cols>
    <col min="1" max="1" width="62.85546875" customWidth="1"/>
  </cols>
  <sheetData>
    <row r="3" spans="1:3" ht="15.75" thickBot="1" x14ac:dyDescent="0.3">
      <c r="A3" s="277" t="s">
        <v>177</v>
      </c>
    </row>
    <row r="4" spans="1:3" ht="15.75" thickBot="1" x14ac:dyDescent="0.3">
      <c r="A4" s="278"/>
      <c r="B4" s="408" t="s">
        <v>178</v>
      </c>
      <c r="C4" s="409"/>
    </row>
    <row r="5" spans="1:3" ht="15.75" thickBot="1" x14ac:dyDescent="0.3">
      <c r="A5" s="279"/>
      <c r="B5" s="280">
        <v>2024</v>
      </c>
      <c r="C5" s="281">
        <v>2025</v>
      </c>
    </row>
    <row r="6" spans="1:3" ht="15.75" thickBot="1" x14ac:dyDescent="0.3">
      <c r="A6" s="282" t="s">
        <v>179</v>
      </c>
      <c r="B6" s="283"/>
      <c r="C6" s="283"/>
    </row>
    <row r="7" spans="1:3" x14ac:dyDescent="0.25">
      <c r="A7" s="284" t="s">
        <v>180</v>
      </c>
      <c r="B7" s="410">
        <f>4.67*68200</f>
        <v>318494</v>
      </c>
      <c r="C7" s="412">
        <f>B7</f>
        <v>318494</v>
      </c>
    </row>
    <row r="8" spans="1:3" ht="15.75" thickBot="1" x14ac:dyDescent="0.3">
      <c r="A8" s="285" t="s">
        <v>188</v>
      </c>
      <c r="B8" s="411"/>
      <c r="C8" s="413"/>
    </row>
    <row r="9" spans="1:3" ht="15.75" thickBot="1" x14ac:dyDescent="0.3">
      <c r="A9" s="286" t="s">
        <v>181</v>
      </c>
      <c r="B9" s="287"/>
      <c r="C9" s="287"/>
    </row>
    <row r="10" spans="1:3" x14ac:dyDescent="0.25">
      <c r="A10" s="288" t="s">
        <v>182</v>
      </c>
      <c r="B10" s="412">
        <f>3.67*68200</f>
        <v>250294</v>
      </c>
      <c r="C10" s="412">
        <f>B10</f>
        <v>250294</v>
      </c>
    </row>
    <row r="11" spans="1:3" ht="26.25" thickBot="1" x14ac:dyDescent="0.3">
      <c r="A11" s="289" t="s">
        <v>189</v>
      </c>
      <c r="B11" s="413"/>
      <c r="C11" s="413"/>
    </row>
    <row r="12" spans="1:3" ht="15.75" thickBot="1" x14ac:dyDescent="0.3">
      <c r="A12" s="290" t="s">
        <v>183</v>
      </c>
      <c r="B12" s="291">
        <f>SUM(B10,B7)</f>
        <v>568788</v>
      </c>
      <c r="C12" s="291">
        <f>SUM(C10,C7)</f>
        <v>568788</v>
      </c>
    </row>
    <row r="13" spans="1:3" ht="26.25" thickBot="1" x14ac:dyDescent="0.3">
      <c r="A13" s="290" t="s">
        <v>184</v>
      </c>
      <c r="B13" s="291">
        <v>126816</v>
      </c>
      <c r="C13" s="291">
        <v>126816</v>
      </c>
    </row>
    <row r="14" spans="1:3" ht="15.75" thickBot="1" x14ac:dyDescent="0.3">
      <c r="A14" s="292" t="s">
        <v>185</v>
      </c>
      <c r="B14" s="293">
        <f>SUM(B13,B12)</f>
        <v>695604</v>
      </c>
      <c r="C14" s="293">
        <f>SUM(C13,C12)</f>
        <v>695604</v>
      </c>
    </row>
    <row r="15" spans="1:3" ht="15.75" thickBot="1" x14ac:dyDescent="0.3">
      <c r="A15" s="282" t="s">
        <v>186</v>
      </c>
      <c r="B15" s="294">
        <v>608700</v>
      </c>
      <c r="C15" s="294">
        <v>608700</v>
      </c>
    </row>
    <row r="16" spans="1:3" ht="15.75" thickBot="1" x14ac:dyDescent="0.3">
      <c r="A16" s="282" t="s">
        <v>187</v>
      </c>
      <c r="B16" s="294">
        <f>B14-B15</f>
        <v>86904</v>
      </c>
      <c r="C16" s="294">
        <f>C14-C15</f>
        <v>86904</v>
      </c>
    </row>
  </sheetData>
  <mergeCells count="5">
    <mergeCell ref="B4:C4"/>
    <mergeCell ref="B7:B8"/>
    <mergeCell ref="C7:C8"/>
    <mergeCell ref="B10:B11"/>
    <mergeCell ref="C10:C1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8FC5595891C5459682E1C6E04E7595" ma:contentTypeVersion="8" ma:contentTypeDescription="Ein neues Dokument erstellen." ma:contentTypeScope="" ma:versionID="acb0c4f0f8145fffe868a09719f7039d">
  <xsd:schema xmlns:xsd="http://www.w3.org/2001/XMLSchema" xmlns:xs="http://www.w3.org/2001/XMLSchema" xmlns:p="http://schemas.microsoft.com/office/2006/metadata/properties" xmlns:ns3="7b303672-27f7-4e80-8605-eee79a06841e" targetNamespace="http://schemas.microsoft.com/office/2006/metadata/properties" ma:root="true" ma:fieldsID="9a5a821384c70c88a2b128443df5b9e5" ns3:_="">
    <xsd:import namespace="7b303672-27f7-4e80-8605-eee79a0684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303672-27f7-4e80-8605-eee79a0684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6B85DA-E13B-4B73-89A1-DAA566171786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7b303672-27f7-4e80-8605-eee79a06841e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7F60AA-D939-4DD9-B786-10CD1D810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FB4D9-7C5D-479E-8ED6-263EF9F5F7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303672-27f7-4e80-8605-eee79a0684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3</vt:i4>
      </vt:variant>
    </vt:vector>
  </HeadingPairs>
  <TitlesOfParts>
    <vt:vector size="8" baseType="lpstr">
      <vt:lpstr>FLS losgelöst v. Basismodul</vt:lpstr>
      <vt:lpstr>Anlage 2 - KS+ neu</vt:lpstr>
      <vt:lpstr>Anlage 3 - KS+ Bestand</vt:lpstr>
      <vt:lpstr>Anlage 4 - Einnahmen EGH </vt:lpstr>
      <vt:lpstr>Tabelle1</vt:lpstr>
      <vt:lpstr>'Anlage 2 - KS+ neu'!Druckbereich</vt:lpstr>
      <vt:lpstr>'Anlage 3 - KS+ Bestand'!Druckbereich</vt:lpstr>
      <vt:lpstr>'FLS losgelöst v. Basismodul'!Druckbereich</vt:lpstr>
    </vt:vector>
  </TitlesOfParts>
  <Company>Fabian Reineke; Diakonisches Werk Baden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Reineke</dc:creator>
  <cp:lastModifiedBy>Bernd Mattheis</cp:lastModifiedBy>
  <cp:lastPrinted>2024-07-02T09:19:23Z</cp:lastPrinted>
  <dcterms:created xsi:type="dcterms:W3CDTF">2015-08-26T13:01:50Z</dcterms:created>
  <dcterms:modified xsi:type="dcterms:W3CDTF">2024-07-02T09:20:05Z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0x010100888FC5595891C5459682E1C6E04E7595</vt:lpwstr>
  </property>
</Properties>
</file>