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5976" yWindow="-36" windowWidth="6000" windowHeight="6600" tabRatio="774" activeTab="1"/>
  </bookViews>
  <sheets>
    <sheet name="Info" sheetId="1" r:id="rId1"/>
    <sheet name="2023" sheetId="8556" r:id="rId2"/>
    <sheet name="2022" sheetId="8555" r:id="rId3"/>
    <sheet name="2021" sheetId="8554" r:id="rId4"/>
    <sheet name="2020" sheetId="8553" r:id="rId5"/>
    <sheet name="2019" sheetId="8552" r:id="rId6"/>
    <sheet name="2018" sheetId="8551" r:id="rId7"/>
    <sheet name="2017" sheetId="8550" r:id="rId8"/>
    <sheet name="2016" sheetId="8549" r:id="rId9"/>
    <sheet name="2015" sheetId="8548" r:id="rId10"/>
    <sheet name="2014" sheetId="8547" r:id="rId11"/>
    <sheet name="2013" sheetId="8546" r:id="rId12"/>
    <sheet name="2012" sheetId="8544" r:id="rId13"/>
    <sheet name="2011" sheetId="8542" r:id="rId14"/>
    <sheet name="2010" sheetId="8541" r:id="rId15"/>
    <sheet name="2009" sheetId="8540" r:id="rId16"/>
    <sheet name="2008" sheetId="8539" r:id="rId17"/>
    <sheet name="2007" sheetId="8537" r:id="rId18"/>
    <sheet name="2006" sheetId="8533" r:id="rId19"/>
    <sheet name="2005" sheetId="8535" r:id="rId20"/>
    <sheet name="2004" sheetId="2952" r:id="rId21"/>
    <sheet name="2003" sheetId="8528" r:id="rId22"/>
    <sheet name="2002" sheetId="2948" r:id="rId23"/>
    <sheet name="2001 " sheetId="265" r:id="rId24"/>
    <sheet name="2000" sheetId="8194" r:id="rId25"/>
    <sheet name="1999" sheetId="2304" r:id="rId26"/>
    <sheet name="1998" sheetId="515" r:id="rId27"/>
    <sheet name="1997" sheetId="32" r:id="rId28"/>
    <sheet name="1996" sheetId="521" r:id="rId29"/>
  </sheets>
  <definedNames>
    <definedName name="Farbe" localSheetId="12">'2012'!$A$3:$M$3,'2012'!$A$6:$M$10,'2012'!$A$11:$A$39</definedName>
    <definedName name="Farbe" localSheetId="11">'2013'!$A$3:$M$3,'2013'!$A$5:$M$9,'2013'!$A$10:$A$36</definedName>
    <definedName name="Farbe" localSheetId="10">'2014'!$A$3:$M$3,'2014'!$A$5:$M$9,'2014'!$A$10:$A$36</definedName>
    <definedName name="Farbe" localSheetId="9">'2015'!$A$3:$M$3,'2015'!$A$5:$M$9,'2015'!$A$10:$A$36</definedName>
    <definedName name="Farbe" localSheetId="8">'2016'!$A$3:$M$3,'2016'!$A$5:$M$9,'2016'!$A$10:$A$36</definedName>
    <definedName name="Farbe" localSheetId="7">'2017'!$A$3:$M$3,'2017'!$A$5:$M$9,'2017'!$A$10:$A$36</definedName>
    <definedName name="Farbe" localSheetId="6">'2018'!$A$3:$M$3,'2018'!$A$5:$M$9,'2018'!$A$10:$A$36</definedName>
    <definedName name="Farbe" localSheetId="5">'2019'!$A$3:$M$3,'2019'!$A$5:$M$9,'2019'!$A$10:$A$36</definedName>
    <definedName name="Farbe" localSheetId="4">'2020'!$A$3:$M$3,'2020'!$A$5:$M$9,'2020'!$A$10:$A$36</definedName>
    <definedName name="Farbe" localSheetId="3">'2021'!$A$3:$M$3,'2021'!$A$5:$M$9,'2021'!$A$10:$A$36</definedName>
    <definedName name="Farbe" localSheetId="2">'2022'!$A$3:$M$3,'2022'!$A$5:$M$9,'2022'!$A$10:$A$36</definedName>
    <definedName name="Farbe" localSheetId="1">'2023'!$A$3:$M$3,'2023'!$A$5:$M$9,'2023'!$A$10:$A$36</definedName>
    <definedName name="Jahrbuch2013" localSheetId="11">'2013'!$A$5:$M$40</definedName>
    <definedName name="Jahrbuch2013" localSheetId="10">'2014'!$A$5:$M$40</definedName>
    <definedName name="Jahrbuch2013" localSheetId="9">'2015'!$A$5:$M$40</definedName>
    <definedName name="Jahrbuch2013" localSheetId="8">'2016'!$A$5:$M$40</definedName>
    <definedName name="Jahrbuch2013" localSheetId="7">'2017'!$A$5:$M$40</definedName>
    <definedName name="Jahrbuch2013" localSheetId="6">'2018'!$A$5:$M$40</definedName>
    <definedName name="Jahrbuch2013" localSheetId="5">'2019'!$A$5:$M$40</definedName>
    <definedName name="Jahrbuch2013" localSheetId="4">'2020'!$A$5:$M$40</definedName>
    <definedName name="Jahrbuch2013" localSheetId="3">'2021'!$A$5:$M$40</definedName>
    <definedName name="Jahrbuch2013" localSheetId="2">'2022'!$A$5:$M$40</definedName>
    <definedName name="Jahrbuch2013" localSheetId="1">'2023'!$A$5:$M$40</definedName>
    <definedName name="Jahrbuch2013">'2012'!$A$6:$M$43</definedName>
    <definedName name="URDB_OK" hidden="1">FALSE</definedName>
  </definedNames>
  <calcPr calcId="162913"/>
</workbook>
</file>

<file path=xl/calcChain.xml><?xml version="1.0" encoding="utf-8"?>
<calcChain xmlns="http://schemas.openxmlformats.org/spreadsheetml/2006/main">
  <c r="M35" i="8556" l="1"/>
  <c r="L35" i="8556"/>
  <c r="K35" i="8556"/>
  <c r="J35" i="8556"/>
  <c r="I35" i="8556"/>
  <c r="H35" i="8556"/>
  <c r="G35" i="8556"/>
  <c r="F35" i="8556"/>
  <c r="E35" i="8556"/>
  <c r="D35" i="8556"/>
  <c r="C35" i="8556"/>
  <c r="B35" i="8556"/>
  <c r="M16" i="8556"/>
  <c r="L16" i="8556"/>
  <c r="L36" i="8556" s="1"/>
  <c r="K16" i="8556"/>
  <c r="K36" i="8556" s="1"/>
  <c r="J16" i="8556"/>
  <c r="J36" i="8556" s="1"/>
  <c r="I16" i="8556"/>
  <c r="H16" i="8556"/>
  <c r="G16" i="8556"/>
  <c r="F16" i="8556"/>
  <c r="E16" i="8556"/>
  <c r="E36" i="8556" s="1"/>
  <c r="D16" i="8556"/>
  <c r="D36" i="8556" s="1"/>
  <c r="C16" i="8556"/>
  <c r="C36" i="8556" s="1"/>
  <c r="B16" i="8556"/>
  <c r="B36" i="8556" s="1"/>
  <c r="M36" i="8556" l="1"/>
  <c r="G36" i="8556"/>
  <c r="H36" i="8556"/>
  <c r="F36" i="8556"/>
  <c r="I36" i="8556"/>
  <c r="B16" i="8555"/>
  <c r="M35" i="8555"/>
  <c r="L35" i="8555"/>
  <c r="K35" i="8555"/>
  <c r="J35" i="8555"/>
  <c r="I35" i="8555"/>
  <c r="H35" i="8555"/>
  <c r="G35" i="8555"/>
  <c r="F35" i="8555"/>
  <c r="E35" i="8555"/>
  <c r="D35" i="8555"/>
  <c r="C35" i="8555"/>
  <c r="B35" i="8555"/>
  <c r="M16" i="8555"/>
  <c r="M36" i="8555" s="1"/>
  <c r="L16" i="8555"/>
  <c r="K16" i="8555"/>
  <c r="K36" i="8555" s="1"/>
  <c r="J16" i="8555"/>
  <c r="I16" i="8555"/>
  <c r="H16" i="8555"/>
  <c r="G16" i="8555"/>
  <c r="F16" i="8555"/>
  <c r="E16" i="8555"/>
  <c r="E36" i="8555" s="1"/>
  <c r="D16" i="8555"/>
  <c r="D36" i="8555" s="1"/>
  <c r="C16" i="8555"/>
  <c r="C36" i="8555" s="1"/>
  <c r="B36" i="8555" l="1"/>
  <c r="L36" i="8555"/>
  <c r="F36" i="8555"/>
  <c r="H36" i="8555"/>
  <c r="G36" i="8555"/>
  <c r="I36" i="8555"/>
  <c r="J36" i="8555"/>
  <c r="M35" i="8554"/>
  <c r="L35" i="8554"/>
  <c r="K35" i="8554"/>
  <c r="J35" i="8554"/>
  <c r="I35" i="8554"/>
  <c r="H35" i="8554"/>
  <c r="G35" i="8554"/>
  <c r="F35" i="8554"/>
  <c r="E35" i="8554"/>
  <c r="D35" i="8554"/>
  <c r="C35" i="8554"/>
  <c r="B35" i="8554"/>
  <c r="M16" i="8554"/>
  <c r="M36" i="8554" s="1"/>
  <c r="L16" i="8554"/>
  <c r="L36" i="8554" s="1"/>
  <c r="K16" i="8554"/>
  <c r="K36" i="8554" s="1"/>
  <c r="J16" i="8554"/>
  <c r="J36" i="8554" s="1"/>
  <c r="I16" i="8554"/>
  <c r="H16" i="8554"/>
  <c r="G16" i="8554"/>
  <c r="F16" i="8554"/>
  <c r="E16" i="8554"/>
  <c r="E36" i="8554" s="1"/>
  <c r="D16" i="8554"/>
  <c r="D36" i="8554" s="1"/>
  <c r="C16" i="8554"/>
  <c r="C36" i="8554" s="1"/>
  <c r="B16" i="8554"/>
  <c r="G36" i="8554" l="1"/>
  <c r="H36" i="8554"/>
  <c r="F36" i="8554"/>
  <c r="I36" i="8554"/>
  <c r="B36" i="8554"/>
  <c r="H36" i="8553"/>
  <c r="B35" i="8553" l="1"/>
  <c r="C35" i="8553"/>
  <c r="D35" i="8553"/>
  <c r="E35" i="8553"/>
  <c r="F35" i="8553"/>
  <c r="G35" i="8553"/>
  <c r="H35" i="8553"/>
  <c r="I35" i="8553"/>
  <c r="J35" i="8553"/>
  <c r="K35" i="8553"/>
  <c r="L35" i="8553"/>
  <c r="M35" i="8553"/>
  <c r="M16" i="8553"/>
  <c r="L16" i="8553"/>
  <c r="L36" i="8553" s="1"/>
  <c r="K16" i="8553"/>
  <c r="J16" i="8553"/>
  <c r="I16" i="8553"/>
  <c r="H16" i="8553"/>
  <c r="G16" i="8553"/>
  <c r="F16" i="8553"/>
  <c r="E16" i="8553"/>
  <c r="D16" i="8553"/>
  <c r="D36" i="8553" s="1"/>
  <c r="C16" i="8553"/>
  <c r="B16" i="8553"/>
  <c r="M36" i="8553" l="1"/>
  <c r="E36" i="8553"/>
  <c r="I36" i="8553"/>
  <c r="J36" i="8553"/>
  <c r="B36" i="8553"/>
  <c r="C36" i="8553"/>
  <c r="K36" i="8553"/>
  <c r="F36" i="8553"/>
  <c r="G36" i="8553"/>
  <c r="C16" i="8552"/>
  <c r="D16" i="8552"/>
  <c r="E16" i="8552"/>
  <c r="F16" i="8552"/>
  <c r="G16" i="8552"/>
  <c r="G36" i="8552" s="1"/>
  <c r="H16" i="8552"/>
  <c r="I16" i="8552"/>
  <c r="J16" i="8552"/>
  <c r="J36" i="8552" s="1"/>
  <c r="K16" i="8552"/>
  <c r="L16" i="8552"/>
  <c r="M16" i="8552"/>
  <c r="B16" i="8552"/>
  <c r="B35" i="8552"/>
  <c r="M35" i="8552"/>
  <c r="L35" i="8552"/>
  <c r="L36" i="8552" s="1"/>
  <c r="K35" i="8552"/>
  <c r="J35" i="8552"/>
  <c r="I35" i="8552"/>
  <c r="G35" i="8552"/>
  <c r="F35" i="8552"/>
  <c r="E35" i="8552"/>
  <c r="E36" i="8552" s="1"/>
  <c r="D35" i="8552"/>
  <c r="D36" i="8552" s="1"/>
  <c r="H35" i="8552"/>
  <c r="C35" i="8552"/>
  <c r="K36" i="8552"/>
  <c r="F36" i="8552"/>
  <c r="I36" i="8552" l="1"/>
  <c r="M36" i="8552"/>
  <c r="C36" i="8552"/>
  <c r="H36" i="8552"/>
  <c r="M35" i="8551"/>
  <c r="B35" i="8551"/>
  <c r="D16" i="8551"/>
  <c r="C16" i="8551"/>
  <c r="B16" i="8551"/>
  <c r="D17" i="8549"/>
  <c r="E17" i="8549"/>
  <c r="F17" i="8549"/>
  <c r="G17" i="8549"/>
  <c r="L35" i="8551"/>
  <c r="K35" i="8551"/>
  <c r="J35" i="8551"/>
  <c r="J36" i="8551"/>
  <c r="I35" i="8551"/>
  <c r="G35" i="8551"/>
  <c r="F35" i="8551"/>
  <c r="E35" i="8551"/>
  <c r="D35" i="8551"/>
  <c r="H34" i="8551"/>
  <c r="C34" i="8551"/>
  <c r="B34" i="8551"/>
  <c r="H33" i="8551"/>
  <c r="C33" i="8551"/>
  <c r="H32" i="8551"/>
  <c r="C32" i="8551"/>
  <c r="B32" i="8551"/>
  <c r="H31" i="8551"/>
  <c r="C31" i="8551"/>
  <c r="H30" i="8551"/>
  <c r="C30" i="8551"/>
  <c r="H29" i="8551"/>
  <c r="C29" i="8551"/>
  <c r="H28" i="8551"/>
  <c r="C28" i="8551"/>
  <c r="H27" i="8551"/>
  <c r="C27" i="8551"/>
  <c r="B27" i="8551"/>
  <c r="H26" i="8551"/>
  <c r="C26" i="8551"/>
  <c r="H25" i="8551"/>
  <c r="C25" i="8551"/>
  <c r="H24" i="8551"/>
  <c r="C24" i="8551"/>
  <c r="H23" i="8551"/>
  <c r="C23" i="8551"/>
  <c r="B23" i="8551"/>
  <c r="H22" i="8551"/>
  <c r="C22" i="8551"/>
  <c r="H21" i="8551"/>
  <c r="C21" i="8551"/>
  <c r="H20" i="8551"/>
  <c r="C20" i="8551"/>
  <c r="H19" i="8551"/>
  <c r="C19" i="8551"/>
  <c r="H18" i="8551"/>
  <c r="C18" i="8551"/>
  <c r="H17" i="8551"/>
  <c r="C17" i="8551"/>
  <c r="M16" i="8551"/>
  <c r="L16" i="8551"/>
  <c r="K16" i="8551"/>
  <c r="J16" i="8551"/>
  <c r="I16" i="8551"/>
  <c r="G16" i="8551"/>
  <c r="F16" i="8551"/>
  <c r="E16" i="8551"/>
  <c r="H15" i="8551"/>
  <c r="C15" i="8551"/>
  <c r="H14" i="8551"/>
  <c r="C14" i="8551"/>
  <c r="B14" i="8551"/>
  <c r="H13" i="8551"/>
  <c r="C13" i="8551"/>
  <c r="H12" i="8551"/>
  <c r="C12" i="8551"/>
  <c r="H11" i="8551"/>
  <c r="C11" i="8551"/>
  <c r="H34" i="8550"/>
  <c r="C34" i="8550"/>
  <c r="H33" i="8550"/>
  <c r="C33" i="8550"/>
  <c r="H32" i="8550"/>
  <c r="C32" i="8550"/>
  <c r="H31" i="8550"/>
  <c r="C31" i="8550"/>
  <c r="H30" i="8550"/>
  <c r="C30" i="8550"/>
  <c r="B30" i="8550"/>
  <c r="H29" i="8550"/>
  <c r="C29" i="8550"/>
  <c r="B29" i="8550"/>
  <c r="H28" i="8550"/>
  <c r="C28" i="8550"/>
  <c r="H27" i="8550"/>
  <c r="C27" i="8550"/>
  <c r="B27" i="8550"/>
  <c r="H26" i="8550"/>
  <c r="C26" i="8550"/>
  <c r="H25" i="8550"/>
  <c r="C25" i="8550"/>
  <c r="L35" i="8550"/>
  <c r="C24" i="8550"/>
  <c r="H23" i="8550"/>
  <c r="C23" i="8550"/>
  <c r="B23" i="8550"/>
  <c r="H22" i="8550"/>
  <c r="C22" i="8550"/>
  <c r="H21" i="8550"/>
  <c r="C21" i="8550"/>
  <c r="H20" i="8550"/>
  <c r="C20" i="8550"/>
  <c r="H19" i="8550"/>
  <c r="C19" i="8550"/>
  <c r="H18" i="8550"/>
  <c r="C18" i="8550"/>
  <c r="M35" i="8550"/>
  <c r="K35" i="8550"/>
  <c r="J35" i="8550"/>
  <c r="I35" i="8550"/>
  <c r="G35" i="8550"/>
  <c r="F35" i="8550"/>
  <c r="E35" i="8550"/>
  <c r="C17" i="8550"/>
  <c r="L16" i="8550"/>
  <c r="K16" i="8550"/>
  <c r="K36" i="8550"/>
  <c r="J16" i="8550"/>
  <c r="J36" i="8550"/>
  <c r="I16" i="8550"/>
  <c r="H15" i="8550"/>
  <c r="C15" i="8550"/>
  <c r="H14" i="8550"/>
  <c r="G16" i="8550"/>
  <c r="F16" i="8550"/>
  <c r="E16" i="8550"/>
  <c r="C14" i="8550"/>
  <c r="B14" i="8550"/>
  <c r="M16" i="8550"/>
  <c r="H13" i="8550"/>
  <c r="C13" i="8550"/>
  <c r="H12" i="8550"/>
  <c r="C12" i="8550"/>
  <c r="H11" i="8550"/>
  <c r="C11" i="8550"/>
  <c r="M21" i="8549"/>
  <c r="M35" i="8549"/>
  <c r="M34" i="8549"/>
  <c r="M33" i="8549"/>
  <c r="H33" i="8549"/>
  <c r="M32" i="8549"/>
  <c r="M31" i="8549"/>
  <c r="G31" i="8549"/>
  <c r="F31" i="8549"/>
  <c r="E31" i="8549"/>
  <c r="D31" i="8549"/>
  <c r="G30" i="8549"/>
  <c r="F30" i="8549"/>
  <c r="C30" i="8549"/>
  <c r="E30" i="8549"/>
  <c r="D30" i="8549"/>
  <c r="M27" i="8549"/>
  <c r="G26" i="8549"/>
  <c r="F26" i="8549"/>
  <c r="E26" i="8549"/>
  <c r="D26" i="8549"/>
  <c r="M25" i="8549"/>
  <c r="H25" i="8549"/>
  <c r="B25" i="8549"/>
  <c r="M24" i="8549"/>
  <c r="L24" i="8549"/>
  <c r="K24" i="8549"/>
  <c r="G24" i="8549"/>
  <c r="F24" i="8549"/>
  <c r="E24" i="8549"/>
  <c r="D24" i="8549"/>
  <c r="M23" i="8549"/>
  <c r="H23" i="8549"/>
  <c r="M22" i="8549"/>
  <c r="G22" i="8549"/>
  <c r="F22" i="8549"/>
  <c r="E22" i="8549"/>
  <c r="D22" i="8549"/>
  <c r="H21" i="8549"/>
  <c r="B21" i="8549"/>
  <c r="K35" i="8549"/>
  <c r="J35" i="8549"/>
  <c r="I16" i="8549"/>
  <c r="I36" i="8549"/>
  <c r="J16" i="8549"/>
  <c r="K16" i="8549"/>
  <c r="K36" i="8549"/>
  <c r="L16" i="8549"/>
  <c r="M15" i="8549"/>
  <c r="H15" i="8549"/>
  <c r="M14" i="8549"/>
  <c r="G14" i="8549"/>
  <c r="G16" i="8549"/>
  <c r="G36" i="8549"/>
  <c r="F14" i="8549"/>
  <c r="F16" i="8549"/>
  <c r="E14" i="8549"/>
  <c r="E16" i="8549"/>
  <c r="D14" i="8549"/>
  <c r="D16" i="8549"/>
  <c r="M13" i="8549"/>
  <c r="H13" i="8549"/>
  <c r="I35" i="8549"/>
  <c r="H34" i="8549"/>
  <c r="C34" i="8549"/>
  <c r="B34" i="8549"/>
  <c r="C33" i="8549"/>
  <c r="H32" i="8549"/>
  <c r="C32" i="8549"/>
  <c r="H31" i="8549"/>
  <c r="B31" i="8549"/>
  <c r="H30" i="8549"/>
  <c r="H29" i="8549"/>
  <c r="C29" i="8549"/>
  <c r="H28" i="8549"/>
  <c r="B28" i="8549"/>
  <c r="C28" i="8549"/>
  <c r="H27" i="8549"/>
  <c r="C27" i="8549"/>
  <c r="H26" i="8549"/>
  <c r="C25" i="8549"/>
  <c r="L35" i="8549"/>
  <c r="H24" i="8549"/>
  <c r="C23" i="8549"/>
  <c r="H22" i="8549"/>
  <c r="C21" i="8549"/>
  <c r="H20" i="8549"/>
  <c r="B20" i="8549"/>
  <c r="C20" i="8549"/>
  <c r="H19" i="8549"/>
  <c r="C19" i="8549"/>
  <c r="H18" i="8549"/>
  <c r="B18" i="8549"/>
  <c r="C18" i="8549"/>
  <c r="C15" i="8549"/>
  <c r="C13" i="8549"/>
  <c r="H12" i="8549"/>
  <c r="H16" i="8549"/>
  <c r="C12" i="8549"/>
  <c r="H11" i="8549"/>
  <c r="C11" i="8549"/>
  <c r="B11" i="8549"/>
  <c r="B16" i="8549"/>
  <c r="M34" i="8548"/>
  <c r="M33" i="8548"/>
  <c r="H33" i="8548"/>
  <c r="M32" i="8548"/>
  <c r="H32" i="8548"/>
  <c r="M31" i="8548"/>
  <c r="H31" i="8548"/>
  <c r="G31" i="8548"/>
  <c r="F31" i="8548"/>
  <c r="E31" i="8548"/>
  <c r="D31" i="8548"/>
  <c r="M30" i="8548"/>
  <c r="H30" i="8548"/>
  <c r="G30" i="8548"/>
  <c r="F30" i="8548"/>
  <c r="E30" i="8548"/>
  <c r="D30" i="8548"/>
  <c r="M29" i="8548"/>
  <c r="H29" i="8548"/>
  <c r="B29" i="8548"/>
  <c r="M28" i="8548"/>
  <c r="H28" i="8548"/>
  <c r="M27" i="8548"/>
  <c r="G26" i="8548"/>
  <c r="F26" i="8548"/>
  <c r="E26" i="8548"/>
  <c r="D26" i="8548"/>
  <c r="M25" i="8548"/>
  <c r="H25" i="8548"/>
  <c r="B25" i="8548"/>
  <c r="M24" i="8548"/>
  <c r="L24" i="8548"/>
  <c r="L35" i="8548"/>
  <c r="K24" i="8548"/>
  <c r="K35" i="8548"/>
  <c r="J24" i="8548"/>
  <c r="J35" i="8548"/>
  <c r="G24" i="8548"/>
  <c r="F24" i="8548"/>
  <c r="C24" i="8548"/>
  <c r="E24" i="8548"/>
  <c r="D24" i="8548"/>
  <c r="M23" i="8548"/>
  <c r="H23" i="8548"/>
  <c r="M22" i="8548"/>
  <c r="H22" i="8548"/>
  <c r="G22" i="8548"/>
  <c r="F22" i="8548"/>
  <c r="E22" i="8548"/>
  <c r="D22" i="8548"/>
  <c r="H21" i="8548"/>
  <c r="J36" i="8548"/>
  <c r="I35" i="8548"/>
  <c r="G17" i="8548"/>
  <c r="F17" i="8548"/>
  <c r="E17" i="8548"/>
  <c r="D17" i="8548"/>
  <c r="G14" i="8548"/>
  <c r="G16" i="8548"/>
  <c r="E14" i="8548"/>
  <c r="E16" i="8548"/>
  <c r="F14" i="8548"/>
  <c r="D14" i="8548"/>
  <c r="H34" i="8548"/>
  <c r="B34" i="8548"/>
  <c r="C34" i="8548"/>
  <c r="C33" i="8548"/>
  <c r="C32" i="8548"/>
  <c r="B32" i="8548"/>
  <c r="C29" i="8548"/>
  <c r="C28" i="8548"/>
  <c r="B28" i="8548"/>
  <c r="H27" i="8548"/>
  <c r="C27" i="8548"/>
  <c r="B27" i="8548"/>
  <c r="H26" i="8548"/>
  <c r="B26" i="8548"/>
  <c r="C25" i="8548"/>
  <c r="C23" i="8548"/>
  <c r="C21" i="8548"/>
  <c r="B21" i="8548"/>
  <c r="H20" i="8548"/>
  <c r="H35" i="8548"/>
  <c r="C20" i="8548"/>
  <c r="B20" i="8548"/>
  <c r="H19" i="8548"/>
  <c r="B19" i="8548"/>
  <c r="C19" i="8548"/>
  <c r="H18" i="8548"/>
  <c r="C18" i="8548"/>
  <c r="L16" i="8548"/>
  <c r="L36" i="8548"/>
  <c r="K16" i="8548"/>
  <c r="K36" i="8548"/>
  <c r="J16" i="8548"/>
  <c r="I16" i="8548"/>
  <c r="I36" i="8548"/>
  <c r="H15" i="8548"/>
  <c r="B15" i="8548"/>
  <c r="C15" i="8548"/>
  <c r="H14" i="8548"/>
  <c r="B14" i="8548"/>
  <c r="H13" i="8548"/>
  <c r="H16" i="8548"/>
  <c r="C13" i="8548"/>
  <c r="H12" i="8548"/>
  <c r="C12" i="8548"/>
  <c r="B12" i="8548"/>
  <c r="H11" i="8548"/>
  <c r="C11" i="8548"/>
  <c r="C16" i="8548"/>
  <c r="M31" i="8547"/>
  <c r="H31" i="8547"/>
  <c r="G31" i="8547"/>
  <c r="F31" i="8547"/>
  <c r="E31" i="8547"/>
  <c r="D31" i="8547"/>
  <c r="M23" i="8547"/>
  <c r="H23" i="8547"/>
  <c r="M27" i="8547"/>
  <c r="M28" i="8547"/>
  <c r="H28" i="8547"/>
  <c r="M32" i="8547"/>
  <c r="M22" i="8547"/>
  <c r="H22" i="8547"/>
  <c r="G22" i="8547"/>
  <c r="F22" i="8547"/>
  <c r="E22" i="8547"/>
  <c r="D22" i="8547"/>
  <c r="G26" i="8547"/>
  <c r="F26" i="8547"/>
  <c r="E26" i="8547"/>
  <c r="D26" i="8547"/>
  <c r="G30" i="8547"/>
  <c r="F30" i="8547"/>
  <c r="E30" i="8547"/>
  <c r="D30" i="8547"/>
  <c r="H17" i="8547"/>
  <c r="G17" i="8547"/>
  <c r="F17" i="8547"/>
  <c r="E17" i="8547"/>
  <c r="D17" i="8547"/>
  <c r="M25" i="8547"/>
  <c r="H25" i="8547"/>
  <c r="M24" i="8547"/>
  <c r="L24" i="8547"/>
  <c r="L35" i="8547"/>
  <c r="K24" i="8547"/>
  <c r="K35" i="8547"/>
  <c r="J24" i="8547"/>
  <c r="J35" i="8547"/>
  <c r="I24" i="8547"/>
  <c r="G24" i="8547"/>
  <c r="F24" i="8547"/>
  <c r="F35" i="8547"/>
  <c r="E24" i="8547"/>
  <c r="D24" i="8547"/>
  <c r="M34" i="8547"/>
  <c r="M34" i="8546"/>
  <c r="M33" i="8547"/>
  <c r="M14" i="8547"/>
  <c r="H14" i="8547"/>
  <c r="G14" i="8547"/>
  <c r="G16" i="8547"/>
  <c r="F14" i="8547"/>
  <c r="F16" i="8547"/>
  <c r="F36" i="8547"/>
  <c r="E14" i="8547"/>
  <c r="E16" i="8547"/>
  <c r="D14" i="8547"/>
  <c r="D16" i="8547"/>
  <c r="M13" i="8547"/>
  <c r="H13" i="8547"/>
  <c r="J16" i="8547"/>
  <c r="K16" i="8547"/>
  <c r="L16" i="8547"/>
  <c r="I16" i="8547"/>
  <c r="H15" i="8547"/>
  <c r="I35" i="8547"/>
  <c r="H34" i="8547"/>
  <c r="C34" i="8547"/>
  <c r="H33" i="8547"/>
  <c r="C33" i="8547"/>
  <c r="H32" i="8547"/>
  <c r="C32" i="8547"/>
  <c r="H30" i="8547"/>
  <c r="H29" i="8547"/>
  <c r="C29" i="8547"/>
  <c r="C28" i="8547"/>
  <c r="H27" i="8547"/>
  <c r="C27" i="8547"/>
  <c r="H26" i="8547"/>
  <c r="C25" i="8547"/>
  <c r="C23" i="8547"/>
  <c r="C21" i="8547"/>
  <c r="H20" i="8547"/>
  <c r="C20" i="8547"/>
  <c r="H19" i="8547"/>
  <c r="C19" i="8547"/>
  <c r="H18" i="8547"/>
  <c r="C18" i="8547"/>
  <c r="C15" i="8547"/>
  <c r="B15" i="8547"/>
  <c r="C13" i="8547"/>
  <c r="H12" i="8547"/>
  <c r="C12" i="8547"/>
  <c r="H11" i="8547"/>
  <c r="C11" i="8547"/>
  <c r="H26" i="8546"/>
  <c r="H17" i="8546"/>
  <c r="H18" i="8546"/>
  <c r="H19" i="8546"/>
  <c r="B19" i="8546"/>
  <c r="H11" i="8546"/>
  <c r="I16" i="8546"/>
  <c r="J16" i="8546"/>
  <c r="K16" i="8546"/>
  <c r="L16" i="8546"/>
  <c r="M16" i="8546"/>
  <c r="L35" i="8546"/>
  <c r="L36" i="8546"/>
  <c r="K35" i="8546"/>
  <c r="J35" i="8546"/>
  <c r="I35" i="8546"/>
  <c r="G35" i="8546"/>
  <c r="G36" i="8546"/>
  <c r="F35" i="8546"/>
  <c r="E35" i="8546"/>
  <c r="D35" i="8546"/>
  <c r="C34" i="8546"/>
  <c r="B34" i="8546"/>
  <c r="H33" i="8546"/>
  <c r="C33" i="8546"/>
  <c r="H32" i="8546"/>
  <c r="C32" i="8546"/>
  <c r="B32" i="8546"/>
  <c r="H31" i="8546"/>
  <c r="C31" i="8546"/>
  <c r="H30" i="8546"/>
  <c r="C30" i="8546"/>
  <c r="B30" i="8546"/>
  <c r="H29" i="8546"/>
  <c r="C29" i="8546"/>
  <c r="H28" i="8546"/>
  <c r="C28" i="8546"/>
  <c r="B28" i="8546"/>
  <c r="H27" i="8546"/>
  <c r="B27" i="8546"/>
  <c r="C27" i="8546"/>
  <c r="C26" i="8546"/>
  <c r="H25" i="8546"/>
  <c r="C25" i="8546"/>
  <c r="H24" i="8546"/>
  <c r="C24" i="8546"/>
  <c r="H23" i="8546"/>
  <c r="C23" i="8546"/>
  <c r="H22" i="8546"/>
  <c r="B22" i="8546"/>
  <c r="C22" i="8546"/>
  <c r="H21" i="8546"/>
  <c r="C21" i="8546"/>
  <c r="H20" i="8546"/>
  <c r="B20" i="8546"/>
  <c r="C20" i="8546"/>
  <c r="C19" i="8546"/>
  <c r="C18" i="8546"/>
  <c r="B18" i="8546"/>
  <c r="C17" i="8546"/>
  <c r="B17" i="8546"/>
  <c r="G16" i="8546"/>
  <c r="F16" i="8546"/>
  <c r="F36" i="8546"/>
  <c r="E16" i="8546"/>
  <c r="D16" i="8546"/>
  <c r="C15" i="8546"/>
  <c r="H14" i="8546"/>
  <c r="C14" i="8546"/>
  <c r="H13" i="8546"/>
  <c r="C13" i="8546"/>
  <c r="H12" i="8546"/>
  <c r="C12" i="8546"/>
  <c r="C11" i="8546"/>
  <c r="B11" i="8546"/>
  <c r="H36" i="8544"/>
  <c r="C36" i="8544"/>
  <c r="H35" i="8544"/>
  <c r="C35" i="8544"/>
  <c r="H34" i="8544"/>
  <c r="C34" i="8544"/>
  <c r="H33" i="8544"/>
  <c r="C33" i="8544"/>
  <c r="H32" i="8544"/>
  <c r="C32" i="8544"/>
  <c r="H31" i="8544"/>
  <c r="C31" i="8544"/>
  <c r="H30" i="8544"/>
  <c r="C30" i="8544"/>
  <c r="H29" i="8544"/>
  <c r="C29" i="8544"/>
  <c r="B29" i="8544"/>
  <c r="C28" i="8544"/>
  <c r="B28" i="8544"/>
  <c r="H27" i="8544"/>
  <c r="C27" i="8544"/>
  <c r="B27" i="8544"/>
  <c r="H26" i="8544"/>
  <c r="C26" i="8544"/>
  <c r="H25" i="8544"/>
  <c r="C25" i="8544"/>
  <c r="B25" i="8544"/>
  <c r="H24" i="8544"/>
  <c r="C24" i="8544"/>
  <c r="H23" i="8544"/>
  <c r="C23" i="8544"/>
  <c r="H22" i="8544"/>
  <c r="B22" i="8544"/>
  <c r="C22" i="8544"/>
  <c r="C21" i="8544"/>
  <c r="B21" i="8544"/>
  <c r="C20" i="8544"/>
  <c r="B20" i="8544"/>
  <c r="M37" i="8544"/>
  <c r="L37" i="8544"/>
  <c r="K37" i="8544"/>
  <c r="J37" i="8544"/>
  <c r="J39" i="8544"/>
  <c r="I37" i="8544"/>
  <c r="G37" i="8544"/>
  <c r="F37" i="8544"/>
  <c r="E37" i="8544"/>
  <c r="D37" i="8544"/>
  <c r="C19" i="8544"/>
  <c r="L17" i="8544"/>
  <c r="K17" i="8544"/>
  <c r="J17" i="8544"/>
  <c r="I17" i="8544"/>
  <c r="H16" i="8544"/>
  <c r="C16" i="8544"/>
  <c r="B16" i="8544"/>
  <c r="H15" i="8544"/>
  <c r="E17" i="8544"/>
  <c r="D17" i="8544"/>
  <c r="C15" i="8544"/>
  <c r="B15" i="8544"/>
  <c r="M17" i="8544"/>
  <c r="M39" i="8544"/>
  <c r="G17" i="8544"/>
  <c r="G39" i="8544"/>
  <c r="F17" i="8544"/>
  <c r="F39" i="8544"/>
  <c r="C14" i="8544"/>
  <c r="H13" i="8544"/>
  <c r="C13" i="8544"/>
  <c r="C12" i="8544"/>
  <c r="B12" i="8544"/>
  <c r="M33" i="8542"/>
  <c r="G33" i="8542"/>
  <c r="F33" i="8542"/>
  <c r="E33" i="8542"/>
  <c r="D33" i="8542"/>
  <c r="M24" i="8542"/>
  <c r="G24" i="8542"/>
  <c r="F24" i="8542"/>
  <c r="E24" i="8542"/>
  <c r="D24" i="8542"/>
  <c r="C24" i="8542"/>
  <c r="G28" i="8542"/>
  <c r="F28" i="8542"/>
  <c r="E28" i="8542"/>
  <c r="D28" i="8542"/>
  <c r="C28" i="8542"/>
  <c r="B28" i="8542"/>
  <c r="M32" i="8542"/>
  <c r="G32" i="8542"/>
  <c r="F32" i="8542"/>
  <c r="C32" i="8542"/>
  <c r="B32" i="8542"/>
  <c r="E32" i="8542"/>
  <c r="D32" i="8542"/>
  <c r="G19" i="8542"/>
  <c r="F19" i="8542"/>
  <c r="E19" i="8542"/>
  <c r="D19" i="8542"/>
  <c r="M19" i="8542"/>
  <c r="L19" i="8542"/>
  <c r="L37" i="8542"/>
  <c r="L39" i="8542"/>
  <c r="K19" i="8542"/>
  <c r="J19" i="8542"/>
  <c r="I19" i="8542"/>
  <c r="H19" i="8542"/>
  <c r="H37" i="8542"/>
  <c r="M26" i="8542"/>
  <c r="L26" i="8542"/>
  <c r="K26" i="8542"/>
  <c r="H26" i="8542"/>
  <c r="J26" i="8542"/>
  <c r="J37" i="8542"/>
  <c r="I26" i="8542"/>
  <c r="G26" i="8542"/>
  <c r="G37" i="8542"/>
  <c r="F26" i="8542"/>
  <c r="E26" i="8542"/>
  <c r="B26" i="8542"/>
  <c r="D26" i="8542"/>
  <c r="C26" i="8542"/>
  <c r="M23" i="8542"/>
  <c r="H23" i="8542"/>
  <c r="B23" i="8542"/>
  <c r="M15" i="8542"/>
  <c r="G15" i="8542"/>
  <c r="G39" i="8542"/>
  <c r="F15" i="8542"/>
  <c r="E15" i="8542"/>
  <c r="E17" i="8542"/>
  <c r="E39" i="8542"/>
  <c r="D15" i="8542"/>
  <c r="M14" i="8542"/>
  <c r="H14" i="8542"/>
  <c r="G14" i="8542"/>
  <c r="G17" i="8542"/>
  <c r="F14" i="8542"/>
  <c r="M16" i="8542"/>
  <c r="H13" i="8542"/>
  <c r="B13" i="8542"/>
  <c r="H15" i="8542"/>
  <c r="H16" i="8542"/>
  <c r="C12" i="8542"/>
  <c r="B12" i="8542"/>
  <c r="C13" i="8542"/>
  <c r="C14" i="8542"/>
  <c r="C15" i="8542"/>
  <c r="B15" i="8542"/>
  <c r="C16" i="8542"/>
  <c r="B16" i="8542"/>
  <c r="D17" i="8542"/>
  <c r="F17" i="8542"/>
  <c r="I17" i="8542"/>
  <c r="J17" i="8542"/>
  <c r="K17" i="8542"/>
  <c r="L17" i="8542"/>
  <c r="C20" i="8542"/>
  <c r="B20" i="8542"/>
  <c r="C21" i="8542"/>
  <c r="B21" i="8542"/>
  <c r="C22" i="8542"/>
  <c r="H22" i="8542"/>
  <c r="C23" i="8542"/>
  <c r="H24" i="8542"/>
  <c r="C25" i="8542"/>
  <c r="B25" i="8542"/>
  <c r="H25" i="8542"/>
  <c r="C27" i="8542"/>
  <c r="B27" i="8542"/>
  <c r="H27" i="8542"/>
  <c r="C29" i="8542"/>
  <c r="H29" i="8542"/>
  <c r="C30" i="8542"/>
  <c r="H30" i="8542"/>
  <c r="B30" i="8542"/>
  <c r="C31" i="8542"/>
  <c r="H31" i="8542"/>
  <c r="B31" i="8542"/>
  <c r="H32" i="8542"/>
  <c r="H33" i="8542"/>
  <c r="C34" i="8542"/>
  <c r="B34" i="8542"/>
  <c r="H34" i="8542"/>
  <c r="C35" i="8542"/>
  <c r="H35" i="8542"/>
  <c r="C36" i="8542"/>
  <c r="H36" i="8542"/>
  <c r="B36" i="8542"/>
  <c r="E37" i="8542"/>
  <c r="I37" i="8542"/>
  <c r="K37" i="8542"/>
  <c r="M37" i="8542"/>
  <c r="I39" i="8542"/>
  <c r="M33" i="8541"/>
  <c r="H33" i="8541"/>
  <c r="G33" i="8541"/>
  <c r="F33" i="8541"/>
  <c r="E33" i="8541"/>
  <c r="D33" i="8541"/>
  <c r="C33" i="8541"/>
  <c r="B33" i="8541"/>
  <c r="M32" i="8541"/>
  <c r="G32" i="8541"/>
  <c r="F32" i="8541"/>
  <c r="E32" i="8541"/>
  <c r="C32" i="8541"/>
  <c r="D32" i="8541"/>
  <c r="G28" i="8541"/>
  <c r="C28" i="8541"/>
  <c r="B28" i="8541"/>
  <c r="F28" i="8541"/>
  <c r="E28" i="8541"/>
  <c r="D28" i="8541"/>
  <c r="M26" i="8541"/>
  <c r="L26" i="8541"/>
  <c r="K26" i="8541"/>
  <c r="J26" i="8541"/>
  <c r="H26" i="8541"/>
  <c r="I26" i="8541"/>
  <c r="G26" i="8541"/>
  <c r="G37" i="8541"/>
  <c r="F26" i="8541"/>
  <c r="E26" i="8541"/>
  <c r="D26" i="8541"/>
  <c r="M24" i="8541"/>
  <c r="H24" i="8541"/>
  <c r="G24" i="8541"/>
  <c r="F24" i="8541"/>
  <c r="E24" i="8541"/>
  <c r="D24" i="8541"/>
  <c r="M23" i="8541"/>
  <c r="M19" i="8541"/>
  <c r="L19" i="8541"/>
  <c r="K19" i="8541"/>
  <c r="K37" i="8541"/>
  <c r="K39" i="8541"/>
  <c r="J19" i="8541"/>
  <c r="I19" i="8541"/>
  <c r="I37" i="8541"/>
  <c r="G19" i="8541"/>
  <c r="F19" i="8541"/>
  <c r="E19" i="8541"/>
  <c r="E37" i="8541"/>
  <c r="E39" i="8541"/>
  <c r="D19" i="8541"/>
  <c r="C19" i="8541"/>
  <c r="C12" i="8541"/>
  <c r="B12" i="8541"/>
  <c r="C13" i="8541"/>
  <c r="H13" i="8541"/>
  <c r="B13" i="8541"/>
  <c r="C14" i="8541"/>
  <c r="C17" i="8541"/>
  <c r="H14" i="8541"/>
  <c r="B14" i="8541"/>
  <c r="C15" i="8541"/>
  <c r="H15" i="8541"/>
  <c r="B15" i="8541"/>
  <c r="C16" i="8541"/>
  <c r="B16" i="8541"/>
  <c r="H16" i="8541"/>
  <c r="D17" i="8541"/>
  <c r="E17" i="8541"/>
  <c r="F17" i="8541"/>
  <c r="G17" i="8541"/>
  <c r="G39" i="8541"/>
  <c r="I17" i="8541"/>
  <c r="J17" i="8541"/>
  <c r="J39" i="8541"/>
  <c r="K17" i="8541"/>
  <c r="L17" i="8541"/>
  <c r="M17" i="8541"/>
  <c r="C20" i="8541"/>
  <c r="B20" i="8541"/>
  <c r="C21" i="8541"/>
  <c r="B21" i="8541"/>
  <c r="C22" i="8541"/>
  <c r="B22" i="8541"/>
  <c r="H22" i="8541"/>
  <c r="C23" i="8541"/>
  <c r="H23" i="8541"/>
  <c r="B23" i="8541"/>
  <c r="C25" i="8541"/>
  <c r="H25" i="8541"/>
  <c r="B25" i="8541"/>
  <c r="C27" i="8541"/>
  <c r="H27" i="8541"/>
  <c r="B27" i="8541"/>
  <c r="C29" i="8541"/>
  <c r="H29" i="8541"/>
  <c r="C30" i="8541"/>
  <c r="H30" i="8541"/>
  <c r="B30" i="8541"/>
  <c r="C31" i="8541"/>
  <c r="H31" i="8541"/>
  <c r="B31" i="8541"/>
  <c r="H32" i="8541"/>
  <c r="C34" i="8541"/>
  <c r="B34" i="8541"/>
  <c r="H34" i="8541"/>
  <c r="C35" i="8541"/>
  <c r="H35" i="8541"/>
  <c r="C36" i="8541"/>
  <c r="H36" i="8541"/>
  <c r="B36" i="8541"/>
  <c r="J37" i="8541"/>
  <c r="L37" i="8541"/>
  <c r="L39" i="8541"/>
  <c r="M37" i="8540"/>
  <c r="L37" i="8540"/>
  <c r="K37" i="8540"/>
  <c r="J37" i="8540"/>
  <c r="I37" i="8540"/>
  <c r="H13" i="8540"/>
  <c r="C12" i="8540"/>
  <c r="B12" i="8540"/>
  <c r="C13" i="8540"/>
  <c r="B13" i="8540"/>
  <c r="C14" i="8540"/>
  <c r="H14" i="8540"/>
  <c r="H17" i="8540"/>
  <c r="C15" i="8540"/>
  <c r="H15" i="8540"/>
  <c r="B15" i="8540"/>
  <c r="C16" i="8540"/>
  <c r="H16" i="8540"/>
  <c r="B16" i="8540"/>
  <c r="C17" i="8540"/>
  <c r="D17" i="8540"/>
  <c r="E17" i="8540"/>
  <c r="F17" i="8540"/>
  <c r="G17" i="8540"/>
  <c r="G39" i="8540"/>
  <c r="I17" i="8540"/>
  <c r="J17" i="8540"/>
  <c r="J39" i="8540"/>
  <c r="K17" i="8540"/>
  <c r="L17" i="8540"/>
  <c r="L39" i="8540"/>
  <c r="M17" i="8540"/>
  <c r="C19" i="8540"/>
  <c r="H19" i="8540"/>
  <c r="B19" i="8540"/>
  <c r="C20" i="8540"/>
  <c r="B20" i="8540"/>
  <c r="C21" i="8540"/>
  <c r="B21" i="8540"/>
  <c r="C22" i="8540"/>
  <c r="H22" i="8540"/>
  <c r="B22" i="8540"/>
  <c r="C23" i="8540"/>
  <c r="B23" i="8540"/>
  <c r="H23" i="8540"/>
  <c r="C24" i="8540"/>
  <c r="H24" i="8540"/>
  <c r="C25" i="8540"/>
  <c r="H25" i="8540"/>
  <c r="B25" i="8540"/>
  <c r="C26" i="8540"/>
  <c r="H26" i="8540"/>
  <c r="B26" i="8540"/>
  <c r="C27" i="8540"/>
  <c r="B27" i="8540"/>
  <c r="H27" i="8540"/>
  <c r="C28" i="8540"/>
  <c r="B28" i="8540"/>
  <c r="C29" i="8540"/>
  <c r="H29" i="8540"/>
  <c r="B29" i="8540"/>
  <c r="C30" i="8540"/>
  <c r="B30" i="8540"/>
  <c r="H30" i="8540"/>
  <c r="C31" i="8540"/>
  <c r="B31" i="8540"/>
  <c r="H31" i="8540"/>
  <c r="C32" i="8540"/>
  <c r="H32" i="8540"/>
  <c r="B32" i="8540"/>
  <c r="C33" i="8540"/>
  <c r="H33" i="8540"/>
  <c r="B33" i="8540"/>
  <c r="C34" i="8540"/>
  <c r="B34" i="8540"/>
  <c r="H34" i="8540"/>
  <c r="C35" i="8540"/>
  <c r="H35" i="8540"/>
  <c r="C36" i="8540"/>
  <c r="H36" i="8540"/>
  <c r="B36" i="8540"/>
  <c r="D37" i="8540"/>
  <c r="D39" i="8540"/>
  <c r="E37" i="8540"/>
  <c r="F37" i="8540"/>
  <c r="F39" i="8540"/>
  <c r="G37" i="8540"/>
  <c r="E39" i="8540"/>
  <c r="I39" i="8540"/>
  <c r="K39" i="8540"/>
  <c r="M39" i="8540"/>
  <c r="C13" i="8539"/>
  <c r="B13" i="8539"/>
  <c r="H36" i="8539"/>
  <c r="B36" i="8539"/>
  <c r="C36" i="8539"/>
  <c r="H35" i="8539"/>
  <c r="B35" i="8539"/>
  <c r="C35" i="8539"/>
  <c r="C34" i="8539"/>
  <c r="B34" i="8539"/>
  <c r="H34" i="8539"/>
  <c r="M33" i="8539"/>
  <c r="H33" i="8539"/>
  <c r="E33" i="8539"/>
  <c r="E37" i="8539"/>
  <c r="D33" i="8539"/>
  <c r="H32" i="8539"/>
  <c r="G32" i="8539"/>
  <c r="F32" i="8539"/>
  <c r="E32" i="8539"/>
  <c r="D32" i="8539"/>
  <c r="C32" i="8539"/>
  <c r="B32" i="8539"/>
  <c r="H31" i="8539"/>
  <c r="C31" i="8539"/>
  <c r="B31" i="8539"/>
  <c r="H30" i="8539"/>
  <c r="C30" i="8539"/>
  <c r="B30" i="8539"/>
  <c r="C29" i="8539"/>
  <c r="B29" i="8539"/>
  <c r="H29" i="8539"/>
  <c r="G28" i="8539"/>
  <c r="F28" i="8539"/>
  <c r="E28" i="8539"/>
  <c r="D28" i="8539"/>
  <c r="C28" i="8539"/>
  <c r="B28" i="8539"/>
  <c r="C27" i="8539"/>
  <c r="H27" i="8539"/>
  <c r="B27" i="8539"/>
  <c r="M26" i="8539"/>
  <c r="L26" i="8539"/>
  <c r="K26" i="8539"/>
  <c r="J26" i="8539"/>
  <c r="H26" i="8539"/>
  <c r="B26" i="8539"/>
  <c r="I26" i="8539"/>
  <c r="G26" i="8539"/>
  <c r="F26" i="8539"/>
  <c r="E26" i="8539"/>
  <c r="D26" i="8539"/>
  <c r="C26" i="8539"/>
  <c r="M24" i="8539"/>
  <c r="C25" i="8539"/>
  <c r="H25" i="8539"/>
  <c r="B25" i="8539"/>
  <c r="H24" i="8539"/>
  <c r="G24" i="8539"/>
  <c r="G37" i="8539"/>
  <c r="F24" i="8539"/>
  <c r="E24" i="8539"/>
  <c r="D24" i="8539"/>
  <c r="C24" i="8539"/>
  <c r="B24" i="8539"/>
  <c r="M23" i="8539"/>
  <c r="H23" i="8539"/>
  <c r="B23" i="8539"/>
  <c r="C23" i="8539"/>
  <c r="C22" i="8539"/>
  <c r="H22" i="8539"/>
  <c r="B22" i="8539"/>
  <c r="C21" i="8539"/>
  <c r="B21" i="8539"/>
  <c r="C20" i="8539"/>
  <c r="B20" i="8539"/>
  <c r="M19" i="8539"/>
  <c r="L19" i="8539"/>
  <c r="K19" i="8539"/>
  <c r="K37" i="8539"/>
  <c r="K39" i="8539"/>
  <c r="J19" i="8539"/>
  <c r="I19" i="8539"/>
  <c r="F19" i="8539"/>
  <c r="C19" i="8539"/>
  <c r="D19" i="8539"/>
  <c r="H16" i="8539"/>
  <c r="H15" i="8539"/>
  <c r="M15" i="8539"/>
  <c r="G15" i="8539"/>
  <c r="F15" i="8539"/>
  <c r="E15" i="8539"/>
  <c r="E17" i="8539"/>
  <c r="D15" i="8539"/>
  <c r="C15" i="8539"/>
  <c r="B15" i="8539"/>
  <c r="M14" i="8539"/>
  <c r="C12" i="8539"/>
  <c r="B12" i="8539"/>
  <c r="C16" i="8539"/>
  <c r="B16" i="8539"/>
  <c r="G14" i="8539"/>
  <c r="F14" i="8539"/>
  <c r="M13" i="8539"/>
  <c r="L37" i="8539"/>
  <c r="F37" i="8539"/>
  <c r="L17" i="8539"/>
  <c r="L39" i="8539"/>
  <c r="K17" i="8539"/>
  <c r="J17" i="8539"/>
  <c r="I17" i="8539"/>
  <c r="D17" i="8539"/>
  <c r="B37" i="8537"/>
  <c r="B17" i="8537"/>
  <c r="B39" i="8537"/>
  <c r="C11" i="8535"/>
  <c r="B11" i="8535"/>
  <c r="B16" i="8535"/>
  <c r="H11" i="8535"/>
  <c r="C12" i="8535"/>
  <c r="B12" i="8535"/>
  <c r="H12" i="8535"/>
  <c r="C13" i="8535"/>
  <c r="B13" i="8535"/>
  <c r="H13" i="8535"/>
  <c r="M13" i="8535"/>
  <c r="D14" i="8535"/>
  <c r="C14" i="8535"/>
  <c r="B14" i="8535"/>
  <c r="E14" i="8535"/>
  <c r="F14" i="8535"/>
  <c r="F16" i="8535"/>
  <c r="G14" i="8535"/>
  <c r="G16" i="8535"/>
  <c r="G38" i="8535"/>
  <c r="H14" i="8535"/>
  <c r="M14" i="8535"/>
  <c r="C15" i="8535"/>
  <c r="B15" i="8535"/>
  <c r="H15" i="8535"/>
  <c r="M15" i="8535"/>
  <c r="D16" i="8535"/>
  <c r="E16" i="8535"/>
  <c r="H16" i="8535"/>
  <c r="I16" i="8535"/>
  <c r="J16" i="8535"/>
  <c r="K16" i="8535"/>
  <c r="L16" i="8535"/>
  <c r="M16" i="8535"/>
  <c r="D18" i="8535"/>
  <c r="C18" i="8535"/>
  <c r="E18" i="8535"/>
  <c r="E36" i="8535"/>
  <c r="E38" i="8535"/>
  <c r="F18" i="8535"/>
  <c r="G18" i="8535"/>
  <c r="I18" i="8535"/>
  <c r="J18" i="8535"/>
  <c r="K18" i="8535"/>
  <c r="L18" i="8535"/>
  <c r="L36" i="8535"/>
  <c r="L38" i="8535"/>
  <c r="M18" i="8535"/>
  <c r="C19" i="8535"/>
  <c r="B19" i="8535"/>
  <c r="C20" i="8535"/>
  <c r="B20" i="8535"/>
  <c r="C21" i="8535"/>
  <c r="B21" i="8535"/>
  <c r="H21" i="8535"/>
  <c r="C22" i="8535"/>
  <c r="M22" i="8535"/>
  <c r="H22" i="8535"/>
  <c r="D23" i="8535"/>
  <c r="E23" i="8535"/>
  <c r="F23" i="8535"/>
  <c r="G23" i="8535"/>
  <c r="G36" i="8535"/>
  <c r="M23" i="8535"/>
  <c r="H23" i="8535"/>
  <c r="C24" i="8535"/>
  <c r="B24" i="8535"/>
  <c r="H24" i="8535"/>
  <c r="D25" i="8535"/>
  <c r="C25" i="8535"/>
  <c r="E25" i="8535"/>
  <c r="F25" i="8535"/>
  <c r="G25" i="8535"/>
  <c r="I25" i="8535"/>
  <c r="H25" i="8535"/>
  <c r="B25" i="8535"/>
  <c r="J25" i="8535"/>
  <c r="K25" i="8535"/>
  <c r="L25" i="8535"/>
  <c r="M25" i="8535"/>
  <c r="C26" i="8535"/>
  <c r="H26" i="8535"/>
  <c r="B26" i="8535"/>
  <c r="D27" i="8535"/>
  <c r="C27" i="8535"/>
  <c r="B27" i="8535"/>
  <c r="E27" i="8535"/>
  <c r="F27" i="8535"/>
  <c r="G27" i="8535"/>
  <c r="H27" i="8535"/>
  <c r="C28" i="8535"/>
  <c r="B28" i="8535"/>
  <c r="H28" i="8535"/>
  <c r="C29" i="8535"/>
  <c r="B29" i="8535"/>
  <c r="H29" i="8535"/>
  <c r="C30" i="8535"/>
  <c r="H30" i="8535"/>
  <c r="B30" i="8535"/>
  <c r="D31" i="8535"/>
  <c r="C31" i="8535"/>
  <c r="E31" i="8535"/>
  <c r="B31" i="8535"/>
  <c r="F31" i="8535"/>
  <c r="G31" i="8535"/>
  <c r="H31" i="8535"/>
  <c r="D32" i="8535"/>
  <c r="C32" i="8535"/>
  <c r="B32" i="8535"/>
  <c r="E32" i="8535"/>
  <c r="F32" i="8535"/>
  <c r="F36" i="8535"/>
  <c r="G32" i="8535"/>
  <c r="H32" i="8535"/>
  <c r="M32" i="8535"/>
  <c r="C33" i="8535"/>
  <c r="B33" i="8535"/>
  <c r="H33" i="8535"/>
  <c r="C34" i="8535"/>
  <c r="B34" i="8535"/>
  <c r="H34" i="8535"/>
  <c r="C35" i="8535"/>
  <c r="H35" i="8535"/>
  <c r="B35" i="8535"/>
  <c r="K36" i="8535"/>
  <c r="A39" i="8535"/>
  <c r="H36" i="521"/>
  <c r="B36" i="521"/>
  <c r="H35" i="521"/>
  <c r="H34" i="521"/>
  <c r="H33" i="521"/>
  <c r="H32" i="521"/>
  <c r="B32" i="521"/>
  <c r="H31" i="521"/>
  <c r="H30" i="521"/>
  <c r="H29" i="521"/>
  <c r="H28" i="521"/>
  <c r="B28" i="521"/>
  <c r="H27" i="521"/>
  <c r="H26" i="521"/>
  <c r="H25" i="521"/>
  <c r="H24" i="521"/>
  <c r="B24" i="521"/>
  <c r="H23" i="521"/>
  <c r="H22" i="521"/>
  <c r="H21" i="521"/>
  <c r="H20" i="521"/>
  <c r="B20" i="521"/>
  <c r="H19" i="521"/>
  <c r="H16" i="521"/>
  <c r="H15" i="521"/>
  <c r="H14" i="521"/>
  <c r="H13" i="521"/>
  <c r="H12" i="521"/>
  <c r="C36" i="521"/>
  <c r="C35" i="521"/>
  <c r="B35" i="521"/>
  <c r="C34" i="521"/>
  <c r="B34" i="521"/>
  <c r="C33" i="521"/>
  <c r="B33" i="521"/>
  <c r="C32" i="521"/>
  <c r="C31" i="521"/>
  <c r="B31" i="521"/>
  <c r="C30" i="521"/>
  <c r="B30" i="521"/>
  <c r="C29" i="521"/>
  <c r="B29" i="521"/>
  <c r="C28" i="521"/>
  <c r="C27" i="521"/>
  <c r="B27" i="521"/>
  <c r="C26" i="521"/>
  <c r="B26" i="521"/>
  <c r="C25" i="521"/>
  <c r="B25" i="521"/>
  <c r="C24" i="521"/>
  <c r="C23" i="521"/>
  <c r="B23" i="521"/>
  <c r="C22" i="521"/>
  <c r="B22" i="521"/>
  <c r="C21" i="521"/>
  <c r="B21" i="521"/>
  <c r="C20" i="521"/>
  <c r="C19" i="521"/>
  <c r="C16" i="521"/>
  <c r="B16" i="521"/>
  <c r="C15" i="521"/>
  <c r="B15" i="521"/>
  <c r="C14" i="521"/>
  <c r="C13" i="521"/>
  <c r="B13" i="521"/>
  <c r="C12" i="521"/>
  <c r="B12" i="521"/>
  <c r="D37" i="521"/>
  <c r="D39" i="521"/>
  <c r="D17" i="521"/>
  <c r="E37" i="521"/>
  <c r="E39" i="521"/>
  <c r="E17" i="521"/>
  <c r="F37" i="521"/>
  <c r="F17" i="521"/>
  <c r="F39" i="521"/>
  <c r="G37" i="521"/>
  <c r="G17" i="521"/>
  <c r="G39" i="521"/>
  <c r="H37" i="521"/>
  <c r="I37" i="521"/>
  <c r="I17" i="521"/>
  <c r="I39" i="521"/>
  <c r="J37" i="521"/>
  <c r="J39" i="521"/>
  <c r="J17" i="521"/>
  <c r="K37" i="521"/>
  <c r="K39" i="521"/>
  <c r="K17" i="521"/>
  <c r="L37" i="521"/>
  <c r="L39" i="521"/>
  <c r="L17" i="521"/>
  <c r="M37" i="521"/>
  <c r="M17" i="521"/>
  <c r="M39" i="521"/>
  <c r="M37" i="2304"/>
  <c r="M17" i="2304"/>
  <c r="M39" i="2304"/>
  <c r="L37" i="2304"/>
  <c r="L39" i="2304"/>
  <c r="L17" i="2304"/>
  <c r="K37" i="2304"/>
  <c r="K17" i="2304"/>
  <c r="K39" i="2304"/>
  <c r="J37" i="2304"/>
  <c r="J17" i="2304"/>
  <c r="J39" i="2304"/>
  <c r="I37" i="2304"/>
  <c r="I17" i="2304"/>
  <c r="I39" i="2304"/>
  <c r="H23" i="2304"/>
  <c r="H35" i="2304"/>
  <c r="H31" i="2304"/>
  <c r="B31" i="2304"/>
  <c r="H36" i="2304"/>
  <c r="H26" i="2304"/>
  <c r="H27" i="2304"/>
  <c r="H19" i="2304"/>
  <c r="H32" i="2304"/>
  <c r="B32" i="2304"/>
  <c r="H28" i="2304"/>
  <c r="H24" i="2304"/>
  <c r="H34" i="2304"/>
  <c r="H30" i="2304"/>
  <c r="B30" i="2304"/>
  <c r="H20" i="2304"/>
  <c r="H29" i="2304"/>
  <c r="H22" i="2304"/>
  <c r="H25" i="2304"/>
  <c r="H33" i="2304"/>
  <c r="H21" i="2304"/>
  <c r="H16" i="2304"/>
  <c r="B16" i="2304"/>
  <c r="H12" i="2304"/>
  <c r="H13" i="2304"/>
  <c r="H14" i="2304"/>
  <c r="H15" i="2304"/>
  <c r="G37" i="2304"/>
  <c r="G17" i="2304"/>
  <c r="G39" i="2304"/>
  <c r="F37" i="2304"/>
  <c r="F17" i="2304"/>
  <c r="F39" i="2304"/>
  <c r="E37" i="2304"/>
  <c r="E17" i="2304"/>
  <c r="E39" i="2304"/>
  <c r="D37" i="2304"/>
  <c r="D17" i="2304"/>
  <c r="D39" i="2304"/>
  <c r="C23" i="2304"/>
  <c r="B23" i="2304"/>
  <c r="C35" i="2304"/>
  <c r="C31" i="2304"/>
  <c r="C36" i="2304"/>
  <c r="B36" i="2304"/>
  <c r="C26" i="2304"/>
  <c r="B26" i="2304"/>
  <c r="C27" i="2304"/>
  <c r="C19" i="2304"/>
  <c r="B19" i="2304"/>
  <c r="C32" i="2304"/>
  <c r="C28" i="2304"/>
  <c r="B28" i="2304"/>
  <c r="C24" i="2304"/>
  <c r="C34" i="2304"/>
  <c r="B34" i="2304"/>
  <c r="C30" i="2304"/>
  <c r="C20" i="2304"/>
  <c r="B20" i="2304"/>
  <c r="C29" i="2304"/>
  <c r="B29" i="2304"/>
  <c r="C22" i="2304"/>
  <c r="B22" i="2304"/>
  <c r="C25" i="2304"/>
  <c r="C33" i="2304"/>
  <c r="B33" i="2304"/>
  <c r="C21" i="2304"/>
  <c r="C16" i="2304"/>
  <c r="C12" i="2304"/>
  <c r="C13" i="2304"/>
  <c r="C14" i="2304"/>
  <c r="C15" i="2304"/>
  <c r="B21" i="2304"/>
  <c r="B24" i="2304"/>
  <c r="B27" i="2304"/>
  <c r="B35" i="2304"/>
  <c r="B12" i="2304"/>
  <c r="B15" i="2304"/>
  <c r="H16" i="8194"/>
  <c r="B16" i="8194"/>
  <c r="H15" i="8194"/>
  <c r="H14" i="8194"/>
  <c r="H13" i="8194"/>
  <c r="B13" i="8194"/>
  <c r="H19" i="8194"/>
  <c r="H26" i="8194"/>
  <c r="H25" i="8194"/>
  <c r="H24" i="8194"/>
  <c r="H37" i="8194"/>
  <c r="H23" i="8194"/>
  <c r="B23" i="8194"/>
  <c r="H22" i="8194"/>
  <c r="M37" i="8194"/>
  <c r="M39" i="8194"/>
  <c r="M17" i="8194"/>
  <c r="L37" i="8194"/>
  <c r="L17" i="8194"/>
  <c r="L39" i="8194"/>
  <c r="K37" i="8194"/>
  <c r="K39" i="8194"/>
  <c r="K17" i="8194"/>
  <c r="J37" i="8194"/>
  <c r="J17" i="8194"/>
  <c r="J39" i="8194"/>
  <c r="I37" i="8194"/>
  <c r="I17" i="8194"/>
  <c r="I39" i="8194"/>
  <c r="H35" i="8194"/>
  <c r="H31" i="8194"/>
  <c r="H36" i="8194"/>
  <c r="H27" i="8194"/>
  <c r="H32" i="8194"/>
  <c r="H28" i="8194"/>
  <c r="H34" i="8194"/>
  <c r="B34" i="8194"/>
  <c r="H30" i="8194"/>
  <c r="H20" i="8194"/>
  <c r="H29" i="8194"/>
  <c r="H33" i="8194"/>
  <c r="H21" i="8194"/>
  <c r="H12" i="8194"/>
  <c r="G37" i="8194"/>
  <c r="G17" i="8194"/>
  <c r="G39" i="8194"/>
  <c r="F37" i="8194"/>
  <c r="F39" i="8194"/>
  <c r="F17" i="8194"/>
  <c r="E37" i="8194"/>
  <c r="E17" i="8194"/>
  <c r="E39" i="8194"/>
  <c r="D37" i="8194"/>
  <c r="D39" i="8194"/>
  <c r="D17" i="8194"/>
  <c r="C23" i="8194"/>
  <c r="C35" i="8194"/>
  <c r="B35" i="8194"/>
  <c r="C31" i="8194"/>
  <c r="B31" i="8194"/>
  <c r="C36" i="8194"/>
  <c r="C26" i="8194"/>
  <c r="B26" i="8194"/>
  <c r="C27" i="8194"/>
  <c r="B27" i="8194"/>
  <c r="C19" i="8194"/>
  <c r="C32" i="8194"/>
  <c r="B32" i="8194"/>
  <c r="C28" i="8194"/>
  <c r="B28" i="8194"/>
  <c r="C24" i="8194"/>
  <c r="C34" i="8194"/>
  <c r="C30" i="8194"/>
  <c r="C37" i="8194"/>
  <c r="C20" i="8194"/>
  <c r="B20" i="8194"/>
  <c r="C29" i="8194"/>
  <c r="B29" i="8194"/>
  <c r="C22" i="8194"/>
  <c r="C25" i="8194"/>
  <c r="B25" i="8194"/>
  <c r="C33" i="8194"/>
  <c r="C21" i="8194"/>
  <c r="C16" i="8194"/>
  <c r="C12" i="8194"/>
  <c r="C13" i="8194"/>
  <c r="C14" i="8194"/>
  <c r="B14" i="8194"/>
  <c r="C15" i="8194"/>
  <c r="B15" i="8194"/>
  <c r="B22" i="8194"/>
  <c r="B33" i="8194"/>
  <c r="B36" i="8194"/>
  <c r="M33" i="265"/>
  <c r="G33" i="265"/>
  <c r="G37" i="265"/>
  <c r="F33" i="265"/>
  <c r="E33" i="265"/>
  <c r="B33" i="265"/>
  <c r="D33" i="265"/>
  <c r="C33" i="265"/>
  <c r="G32" i="265"/>
  <c r="F32" i="265"/>
  <c r="E32" i="265"/>
  <c r="D32" i="265"/>
  <c r="G28" i="265"/>
  <c r="F28" i="265"/>
  <c r="E28" i="265"/>
  <c r="D28" i="265"/>
  <c r="M26" i="265"/>
  <c r="L26" i="265"/>
  <c r="K26" i="265"/>
  <c r="J26" i="265"/>
  <c r="H26" i="265"/>
  <c r="I26" i="265"/>
  <c r="G26" i="265"/>
  <c r="F26" i="265"/>
  <c r="F37" i="265"/>
  <c r="E26" i="265"/>
  <c r="D26" i="265"/>
  <c r="M24" i="265"/>
  <c r="M37" i="265"/>
  <c r="G24" i="265"/>
  <c r="F24" i="265"/>
  <c r="E24" i="265"/>
  <c r="D24" i="265"/>
  <c r="M23" i="265"/>
  <c r="M19" i="265"/>
  <c r="L19" i="265"/>
  <c r="L37" i="265"/>
  <c r="K19" i="265"/>
  <c r="J19" i="265"/>
  <c r="I19" i="265"/>
  <c r="M16" i="265"/>
  <c r="H16" i="265"/>
  <c r="M15" i="265"/>
  <c r="G15" i="265"/>
  <c r="G17" i="265"/>
  <c r="G39" i="265"/>
  <c r="F15" i="265"/>
  <c r="E15" i="265"/>
  <c r="D15" i="265"/>
  <c r="H14" i="265"/>
  <c r="B14" i="265"/>
  <c r="H13" i="265"/>
  <c r="H25" i="265"/>
  <c r="H23" i="265"/>
  <c r="H22" i="265"/>
  <c r="L17" i="265"/>
  <c r="K37" i="265"/>
  <c r="K17" i="265"/>
  <c r="K39" i="265"/>
  <c r="J17" i="265"/>
  <c r="I17" i="265"/>
  <c r="H35" i="265"/>
  <c r="H31" i="265"/>
  <c r="B31" i="265"/>
  <c r="H36" i="265"/>
  <c r="H27" i="265"/>
  <c r="H32" i="265"/>
  <c r="H28" i="265"/>
  <c r="H34" i="265"/>
  <c r="H30" i="265"/>
  <c r="H20" i="265"/>
  <c r="H29" i="265"/>
  <c r="H33" i="265"/>
  <c r="H21" i="265"/>
  <c r="H12" i="265"/>
  <c r="F17" i="265"/>
  <c r="F39" i="265"/>
  <c r="D17" i="265"/>
  <c r="C23" i="265"/>
  <c r="B23" i="265"/>
  <c r="C35" i="265"/>
  <c r="B35" i="265"/>
  <c r="C31" i="265"/>
  <c r="C36" i="265"/>
  <c r="B36" i="265"/>
  <c r="C27" i="265"/>
  <c r="B27" i="265"/>
  <c r="C19" i="265"/>
  <c r="C32" i="265"/>
  <c r="B32" i="265"/>
  <c r="C34" i="265"/>
  <c r="C30" i="265"/>
  <c r="B30" i="265"/>
  <c r="C20" i="265"/>
  <c r="B20" i="265"/>
  <c r="C29" i="265"/>
  <c r="C22" i="265"/>
  <c r="C25" i="265"/>
  <c r="C21" i="265"/>
  <c r="C16" i="265"/>
  <c r="C12" i="265"/>
  <c r="C13" i="265"/>
  <c r="B13" i="265"/>
  <c r="C14" i="265"/>
  <c r="B22" i="265"/>
  <c r="B34" i="265"/>
  <c r="B16" i="265"/>
  <c r="K16" i="2948"/>
  <c r="K17" i="2948"/>
  <c r="K19" i="2948"/>
  <c r="K26" i="2948"/>
  <c r="M28" i="2948"/>
  <c r="L28" i="2948"/>
  <c r="K28" i="2948"/>
  <c r="J28" i="2948"/>
  <c r="I28" i="2948"/>
  <c r="M15" i="2948"/>
  <c r="H15" i="2948"/>
  <c r="M33" i="2948"/>
  <c r="G33" i="2948"/>
  <c r="F33" i="2948"/>
  <c r="C33" i="2948"/>
  <c r="B33" i="2948"/>
  <c r="E33" i="2948"/>
  <c r="D33" i="2948"/>
  <c r="G24" i="2948"/>
  <c r="F24" i="2948"/>
  <c r="E24" i="2948"/>
  <c r="D24" i="2948"/>
  <c r="G28" i="2948"/>
  <c r="F28" i="2948"/>
  <c r="C28" i="2948"/>
  <c r="E28" i="2948"/>
  <c r="D28" i="2948"/>
  <c r="G32" i="2948"/>
  <c r="F32" i="2948"/>
  <c r="E32" i="2948"/>
  <c r="D32" i="2948"/>
  <c r="C32" i="2948"/>
  <c r="E22" i="2948"/>
  <c r="C22" i="2948"/>
  <c r="B22" i="2948"/>
  <c r="M19" i="2948"/>
  <c r="L19" i="2948"/>
  <c r="L37" i="2948"/>
  <c r="J19" i="2948"/>
  <c r="I19" i="2948"/>
  <c r="G19" i="2948"/>
  <c r="F19" i="2948"/>
  <c r="F37" i="2948"/>
  <c r="E19" i="2948"/>
  <c r="D19" i="2948"/>
  <c r="J26" i="2948"/>
  <c r="M26" i="2948"/>
  <c r="M37" i="2948"/>
  <c r="L26" i="2948"/>
  <c r="I26" i="2948"/>
  <c r="G26" i="2948"/>
  <c r="F26" i="2948"/>
  <c r="E26" i="2948"/>
  <c r="D26" i="2948"/>
  <c r="C26" i="2948"/>
  <c r="M23" i="2948"/>
  <c r="G15" i="2948"/>
  <c r="G17" i="2948"/>
  <c r="F15" i="2948"/>
  <c r="E15" i="2948"/>
  <c r="D15" i="2948"/>
  <c r="D17" i="2948"/>
  <c r="M14" i="2948"/>
  <c r="M17" i="2948"/>
  <c r="M16" i="2948"/>
  <c r="H16" i="2948"/>
  <c r="B16" i="2948"/>
  <c r="H13" i="2948"/>
  <c r="H25" i="2948"/>
  <c r="H24" i="2948"/>
  <c r="H23" i="2948"/>
  <c r="H22" i="2948"/>
  <c r="L17" i="2948"/>
  <c r="L39" i="2948"/>
  <c r="J17" i="2948"/>
  <c r="I17" i="2948"/>
  <c r="H35" i="2948"/>
  <c r="B35" i="2948"/>
  <c r="H31" i="2948"/>
  <c r="B31" i="2948"/>
  <c r="H36" i="2948"/>
  <c r="H27" i="2948"/>
  <c r="B27" i="2948"/>
  <c r="H32" i="2948"/>
  <c r="H34" i="2948"/>
  <c r="H30" i="2948"/>
  <c r="H20" i="2948"/>
  <c r="H29" i="2948"/>
  <c r="B29" i="2948"/>
  <c r="H33" i="2948"/>
  <c r="H21" i="2948"/>
  <c r="H12" i="2948"/>
  <c r="F17" i="2948"/>
  <c r="F39" i="2948"/>
  <c r="C23" i="2948"/>
  <c r="C35" i="2948"/>
  <c r="C31" i="2948"/>
  <c r="C36" i="2948"/>
  <c r="B36" i="2948"/>
  <c r="C27" i="2948"/>
  <c r="C34" i="2948"/>
  <c r="C30" i="2948"/>
  <c r="B30" i="2948"/>
  <c r="C20" i="2948"/>
  <c r="C29" i="2948"/>
  <c r="C25" i="2948"/>
  <c r="C21" i="2948"/>
  <c r="B21" i="2948"/>
  <c r="C16" i="2948"/>
  <c r="C12" i="2948"/>
  <c r="C13" i="2948"/>
  <c r="B13" i="2948"/>
  <c r="C14" i="2948"/>
  <c r="B25" i="2948"/>
  <c r="B12" i="2948"/>
  <c r="K17" i="8528"/>
  <c r="K37" i="8528"/>
  <c r="K39" i="8528"/>
  <c r="H16" i="8528"/>
  <c r="H15" i="8528"/>
  <c r="H14" i="8528"/>
  <c r="H13" i="8528"/>
  <c r="H19" i="8528"/>
  <c r="H37" i="8528"/>
  <c r="H26" i="8528"/>
  <c r="H25" i="8528"/>
  <c r="H24" i="8528"/>
  <c r="B24" i="8528"/>
  <c r="H23" i="8528"/>
  <c r="H22" i="8528"/>
  <c r="M37" i="8528"/>
  <c r="M17" i="8528"/>
  <c r="M39" i="8528"/>
  <c r="L37" i="8528"/>
  <c r="L17" i="8528"/>
  <c r="J37" i="8528"/>
  <c r="J17" i="8528"/>
  <c r="J39" i="8528"/>
  <c r="I37" i="8528"/>
  <c r="I17" i="8528"/>
  <c r="I39" i="8528"/>
  <c r="H35" i="8528"/>
  <c r="B35" i="8528"/>
  <c r="H31" i="8528"/>
  <c r="H36" i="8528"/>
  <c r="B36" i="8528"/>
  <c r="H27" i="8528"/>
  <c r="H32" i="8528"/>
  <c r="H28" i="8528"/>
  <c r="H34" i="8528"/>
  <c r="H30" i="8528"/>
  <c r="H20" i="8528"/>
  <c r="H29" i="8528"/>
  <c r="H33" i="8528"/>
  <c r="B33" i="8528"/>
  <c r="H21" i="8528"/>
  <c r="H12" i="8528"/>
  <c r="B12" i="8528"/>
  <c r="G37" i="8528"/>
  <c r="G17" i="8528"/>
  <c r="F37" i="8528"/>
  <c r="F17" i="8528"/>
  <c r="E37" i="8528"/>
  <c r="E17" i="8528"/>
  <c r="E39" i="8528"/>
  <c r="D37" i="8528"/>
  <c r="D17" i="8528"/>
  <c r="D39" i="8528"/>
  <c r="C23" i="8528"/>
  <c r="B23" i="8528"/>
  <c r="C35" i="8528"/>
  <c r="C31" i="8528"/>
  <c r="C36" i="8528"/>
  <c r="C26" i="8528"/>
  <c r="B26" i="8528"/>
  <c r="C27" i="8528"/>
  <c r="B27" i="8528"/>
  <c r="C19" i="8528"/>
  <c r="C32" i="8528"/>
  <c r="B32" i="8528"/>
  <c r="C28" i="8528"/>
  <c r="B28" i="8528"/>
  <c r="C24" i="8528"/>
  <c r="C34" i="8528"/>
  <c r="C30" i="8528"/>
  <c r="B30" i="8528"/>
  <c r="C20" i="8528"/>
  <c r="B20" i="8528"/>
  <c r="C29" i="8528"/>
  <c r="C22" i="8528"/>
  <c r="B22" i="8528"/>
  <c r="C25" i="8528"/>
  <c r="C33" i="8528"/>
  <c r="C21" i="8528"/>
  <c r="C37" i="8528"/>
  <c r="C16" i="8528"/>
  <c r="B16" i="8528"/>
  <c r="C12" i="8528"/>
  <c r="C13" i="8528"/>
  <c r="C14" i="8528"/>
  <c r="C15" i="8528"/>
  <c r="B15" i="8528"/>
  <c r="B21" i="8528"/>
  <c r="B25" i="8528"/>
  <c r="B29" i="8528"/>
  <c r="B31" i="8528"/>
  <c r="B14" i="8528"/>
  <c r="K17" i="2952"/>
  <c r="K37" i="2952"/>
  <c r="K39" i="2952"/>
  <c r="H16" i="2952"/>
  <c r="H17" i="2952"/>
  <c r="H15" i="2952"/>
  <c r="H14" i="2952"/>
  <c r="H13" i="2952"/>
  <c r="H19" i="2952"/>
  <c r="H26" i="2952"/>
  <c r="H25" i="2952"/>
  <c r="H24" i="2952"/>
  <c r="H23" i="2952"/>
  <c r="B23" i="2952"/>
  <c r="H22" i="2952"/>
  <c r="M37" i="2952"/>
  <c r="M17" i="2952"/>
  <c r="M39" i="2952"/>
  <c r="L37" i="2952"/>
  <c r="L17" i="2952"/>
  <c r="J37" i="2952"/>
  <c r="J17" i="2952"/>
  <c r="J39" i="2952"/>
  <c r="I37" i="2952"/>
  <c r="I17" i="2952"/>
  <c r="I39" i="2952"/>
  <c r="H35" i="2952"/>
  <c r="H31" i="2952"/>
  <c r="H36" i="2952"/>
  <c r="H27" i="2952"/>
  <c r="H32" i="2952"/>
  <c r="H28" i="2952"/>
  <c r="H34" i="2952"/>
  <c r="H30" i="2952"/>
  <c r="H20" i="2952"/>
  <c r="B20" i="2952"/>
  <c r="H29" i="2952"/>
  <c r="H33" i="2952"/>
  <c r="H21" i="2952"/>
  <c r="H12" i="2952"/>
  <c r="G37" i="2952"/>
  <c r="G17" i="2952"/>
  <c r="G39" i="2952"/>
  <c r="F37" i="2952"/>
  <c r="F39" i="2952"/>
  <c r="F17" i="2952"/>
  <c r="E37" i="2952"/>
  <c r="E17" i="2952"/>
  <c r="E39" i="2952"/>
  <c r="D37" i="2952"/>
  <c r="D17" i="2952"/>
  <c r="D39" i="2952"/>
  <c r="C23" i="2952"/>
  <c r="C35" i="2952"/>
  <c r="C31" i="2952"/>
  <c r="B31" i="2952"/>
  <c r="C36" i="2952"/>
  <c r="B36" i="2952"/>
  <c r="C26" i="2952"/>
  <c r="B26" i="2952"/>
  <c r="C27" i="2952"/>
  <c r="B27" i="2952"/>
  <c r="C19" i="2952"/>
  <c r="C32" i="2952"/>
  <c r="C28" i="2952"/>
  <c r="C24" i="2952"/>
  <c r="B24" i="2952"/>
  <c r="C34" i="2952"/>
  <c r="B34" i="2952"/>
  <c r="C30" i="2952"/>
  <c r="C20" i="2952"/>
  <c r="C29" i="2952"/>
  <c r="B29" i="2952"/>
  <c r="C22" i="2952"/>
  <c r="C25" i="2952"/>
  <c r="B25" i="2952"/>
  <c r="C33" i="2952"/>
  <c r="B33" i="2952"/>
  <c r="C21" i="2952"/>
  <c r="C16" i="2952"/>
  <c r="C12" i="2952"/>
  <c r="C13" i="2952"/>
  <c r="B13" i="2952"/>
  <c r="C14" i="2952"/>
  <c r="C15" i="2952"/>
  <c r="B22" i="2952"/>
  <c r="B28" i="2952"/>
  <c r="B30" i="2952"/>
  <c r="B32" i="2952"/>
  <c r="B16" i="2952"/>
  <c r="B14" i="2952"/>
  <c r="B15" i="2952"/>
  <c r="E17" i="2948"/>
  <c r="C15" i="2948"/>
  <c r="C17" i="2948"/>
  <c r="B21" i="265"/>
  <c r="B21" i="8194"/>
  <c r="B19" i="8194"/>
  <c r="D37" i="2948"/>
  <c r="D39" i="2948"/>
  <c r="B12" i="2952"/>
  <c r="B17" i="2952"/>
  <c r="B21" i="2952"/>
  <c r="B20" i="2948"/>
  <c r="B34" i="2948"/>
  <c r="C19" i="2948"/>
  <c r="H14" i="2948"/>
  <c r="B14" i="2948"/>
  <c r="B25" i="265"/>
  <c r="B22" i="8535"/>
  <c r="B17" i="8541"/>
  <c r="J39" i="8542"/>
  <c r="B14" i="8542"/>
  <c r="B12" i="265"/>
  <c r="H15" i="265"/>
  <c r="B12" i="8194"/>
  <c r="B17" i="8194"/>
  <c r="B24" i="8542"/>
  <c r="F38" i="8535"/>
  <c r="J36" i="8535"/>
  <c r="J38" i="8535"/>
  <c r="D36" i="8535"/>
  <c r="D38" i="8535"/>
  <c r="C16" i="8535"/>
  <c r="F17" i="8539"/>
  <c r="F39" i="8539"/>
  <c r="I37" i="8539"/>
  <c r="I39" i="8539"/>
  <c r="M37" i="8539"/>
  <c r="C37" i="8540"/>
  <c r="C39" i="8540"/>
  <c r="H17" i="8541"/>
  <c r="D37" i="8542"/>
  <c r="D39" i="8542"/>
  <c r="M17" i="8542"/>
  <c r="M39" i="8542"/>
  <c r="C17" i="8542"/>
  <c r="B15" i="2948"/>
  <c r="B31" i="8544"/>
  <c r="B24" i="8544"/>
  <c r="B23" i="8544"/>
  <c r="B13" i="8544"/>
  <c r="K39" i="8544"/>
  <c r="B34" i="8544"/>
  <c r="L39" i="8544"/>
  <c r="H14" i="8544"/>
  <c r="H17" i="8544"/>
  <c r="H19" i="8544"/>
  <c r="H37" i="8544"/>
  <c r="B26" i="8546"/>
  <c r="I36" i="8546"/>
  <c r="B31" i="8546"/>
  <c r="D36" i="8546"/>
  <c r="B15" i="8546"/>
  <c r="B12" i="8546"/>
  <c r="G35" i="8547"/>
  <c r="C24" i="8547"/>
  <c r="H21" i="8547"/>
  <c r="I36" i="8547"/>
  <c r="C17" i="8548"/>
  <c r="B18" i="8548"/>
  <c r="M16" i="8548"/>
  <c r="C22" i="8548"/>
  <c r="B22" i="8548"/>
  <c r="C30" i="8548"/>
  <c r="B30" i="8548"/>
  <c r="H17" i="8548"/>
  <c r="B17" i="8548"/>
  <c r="M35" i="8548"/>
  <c r="M36" i="8548"/>
  <c r="D35" i="8548"/>
  <c r="G35" i="8548"/>
  <c r="G36" i="8548"/>
  <c r="D16" i="8548"/>
  <c r="D36" i="8548"/>
  <c r="C31" i="8549"/>
  <c r="B30" i="8549"/>
  <c r="G35" i="8549"/>
  <c r="C26" i="8549"/>
  <c r="B26" i="8549"/>
  <c r="F35" i="8549"/>
  <c r="F36" i="8549"/>
  <c r="C22" i="8549"/>
  <c r="B22" i="8549"/>
  <c r="B19" i="8549"/>
  <c r="C17" i="8549"/>
  <c r="B15" i="8549"/>
  <c r="B13" i="8549"/>
  <c r="B27" i="8549"/>
  <c r="B29" i="8549"/>
  <c r="B12" i="8549"/>
  <c r="B33" i="8549"/>
  <c r="L36" i="8549"/>
  <c r="B23" i="8549"/>
  <c r="B32" i="8549"/>
  <c r="E35" i="8549"/>
  <c r="E36" i="8549"/>
  <c r="C14" i="8549"/>
  <c r="D35" i="8549"/>
  <c r="D36" i="8549"/>
  <c r="H17" i="8549"/>
  <c r="H35" i="8549"/>
  <c r="C16" i="8549"/>
  <c r="B37" i="2304"/>
  <c r="B28" i="2948"/>
  <c r="H28" i="2948"/>
  <c r="I37" i="2948"/>
  <c r="I39" i="2948"/>
  <c r="B17" i="2948"/>
  <c r="G39" i="2948"/>
  <c r="B17" i="8542"/>
  <c r="M17" i="265"/>
  <c r="M39" i="265"/>
  <c r="B35" i="2952"/>
  <c r="B19" i="8528"/>
  <c r="F39" i="8528"/>
  <c r="H17" i="8528"/>
  <c r="H39" i="8528"/>
  <c r="L39" i="8528"/>
  <c r="H19" i="2948"/>
  <c r="D39" i="265"/>
  <c r="H24" i="265"/>
  <c r="C28" i="265"/>
  <c r="B28" i="265"/>
  <c r="B30" i="8194"/>
  <c r="G17" i="8539"/>
  <c r="G39" i="8539"/>
  <c r="C14" i="8539"/>
  <c r="F35" i="8548"/>
  <c r="J37" i="2948"/>
  <c r="J39" i="2948"/>
  <c r="B32" i="2948"/>
  <c r="K37" i="2948"/>
  <c r="K39" i="2948"/>
  <c r="L39" i="265"/>
  <c r="C17" i="8194"/>
  <c r="C39" i="8194"/>
  <c r="F16" i="8548"/>
  <c r="F36" i="8548"/>
  <c r="C14" i="8548"/>
  <c r="C37" i="2952"/>
  <c r="H37" i="2952"/>
  <c r="H39" i="2952"/>
  <c r="B26" i="2948"/>
  <c r="D37" i="265"/>
  <c r="C24" i="265"/>
  <c r="C37" i="521"/>
  <c r="C39" i="521"/>
  <c r="B19" i="521"/>
  <c r="B37" i="521"/>
  <c r="H17" i="8542"/>
  <c r="H39" i="8542"/>
  <c r="C19" i="8542"/>
  <c r="F37" i="8542"/>
  <c r="F39" i="8542"/>
  <c r="M35" i="8546"/>
  <c r="H34" i="8546"/>
  <c r="B19" i="2952"/>
  <c r="B37" i="2952"/>
  <c r="B39" i="2952"/>
  <c r="C17" i="2952"/>
  <c r="C39" i="2952"/>
  <c r="C17" i="8528"/>
  <c r="C39" i="8528"/>
  <c r="B13" i="8528"/>
  <c r="B17" i="8528"/>
  <c r="H17" i="2948"/>
  <c r="M39" i="2948"/>
  <c r="H26" i="2948"/>
  <c r="G37" i="2948"/>
  <c r="C24" i="2948"/>
  <c r="B24" i="2948"/>
  <c r="H17" i="265"/>
  <c r="H19" i="265"/>
  <c r="I37" i="265"/>
  <c r="E37" i="265"/>
  <c r="H17" i="8194"/>
  <c r="H39" i="8194"/>
  <c r="C17" i="2304"/>
  <c r="B13" i="2304"/>
  <c r="B17" i="2304"/>
  <c r="B39" i="2304"/>
  <c r="H17" i="2304"/>
  <c r="H39" i="2304"/>
  <c r="L39" i="2952"/>
  <c r="B34" i="8528"/>
  <c r="G39" i="8528"/>
  <c r="B23" i="2948"/>
  <c r="B29" i="265"/>
  <c r="I39" i="265"/>
  <c r="J37" i="265"/>
  <c r="J39" i="265"/>
  <c r="C26" i="265"/>
  <c r="B26" i="265"/>
  <c r="E37" i="2948"/>
  <c r="E39" i="2948"/>
  <c r="E17" i="265"/>
  <c r="C15" i="265"/>
  <c r="B24" i="8194"/>
  <c r="B37" i="8194"/>
  <c r="B39" i="8194"/>
  <c r="H37" i="2304"/>
  <c r="B25" i="2304"/>
  <c r="M36" i="8535"/>
  <c r="M38" i="8535"/>
  <c r="H18" i="8535"/>
  <c r="H19" i="8539"/>
  <c r="J37" i="8539"/>
  <c r="B33" i="8548"/>
  <c r="E35" i="8548"/>
  <c r="E36" i="8548"/>
  <c r="C17" i="521"/>
  <c r="H17" i="521"/>
  <c r="H39" i="521"/>
  <c r="B14" i="521"/>
  <c r="B17" i="521"/>
  <c r="I36" i="8535"/>
  <c r="I38" i="8535"/>
  <c r="K38" i="8535"/>
  <c r="J39" i="8539"/>
  <c r="E39" i="8539"/>
  <c r="B35" i="8540"/>
  <c r="B24" i="8540"/>
  <c r="B14" i="8540"/>
  <c r="B17" i="8540"/>
  <c r="B29" i="8541"/>
  <c r="M39" i="8541"/>
  <c r="I39" i="8541"/>
  <c r="B35" i="8542"/>
  <c r="B29" i="8542"/>
  <c r="B22" i="8542"/>
  <c r="C33" i="8542"/>
  <c r="B33" i="8542"/>
  <c r="C26" i="8548"/>
  <c r="C31" i="8548"/>
  <c r="B31" i="8548"/>
  <c r="M16" i="8549"/>
  <c r="M36" i="8549"/>
  <c r="H14" i="8549"/>
  <c r="J36" i="8549"/>
  <c r="B14" i="2304"/>
  <c r="C37" i="2304"/>
  <c r="C23" i="8535"/>
  <c r="D39" i="8539"/>
  <c r="M17" i="8539"/>
  <c r="M39" i="8539"/>
  <c r="H14" i="8539"/>
  <c r="H17" i="8539"/>
  <c r="C33" i="8539"/>
  <c r="B35" i="8541"/>
  <c r="M37" i="8541"/>
  <c r="H19" i="8541"/>
  <c r="C24" i="8541"/>
  <c r="F37" i="8541"/>
  <c r="F39" i="8541"/>
  <c r="C26" i="8541"/>
  <c r="B26" i="8541"/>
  <c r="D37" i="8541"/>
  <c r="D39" i="8541"/>
  <c r="B32" i="8541"/>
  <c r="K39" i="8542"/>
  <c r="B23" i="8548"/>
  <c r="C24" i="8549"/>
  <c r="B24" i="8549"/>
  <c r="H24" i="8548"/>
  <c r="D37" i="8539"/>
  <c r="H37" i="8540"/>
  <c r="H39" i="8540"/>
  <c r="B39" i="8528"/>
  <c r="H39" i="2948"/>
  <c r="B39" i="521"/>
  <c r="B37" i="8528"/>
  <c r="B24" i="8541"/>
  <c r="C37" i="8541"/>
  <c r="C39" i="8541"/>
  <c r="B23" i="8535"/>
  <c r="C36" i="8535"/>
  <c r="C38" i="8535"/>
  <c r="C17" i="265"/>
  <c r="B15" i="265"/>
  <c r="B17" i="265"/>
  <c r="C37" i="2948"/>
  <c r="C39" i="2948"/>
  <c r="B24" i="8548"/>
  <c r="B19" i="8541"/>
  <c r="H37" i="8541"/>
  <c r="H39" i="8541"/>
  <c r="H39" i="8539"/>
  <c r="E39" i="265"/>
  <c r="C39" i="2304"/>
  <c r="H37" i="265"/>
  <c r="B19" i="265"/>
  <c r="B37" i="265"/>
  <c r="C37" i="8542"/>
  <c r="C39" i="8542"/>
  <c r="B19" i="8542"/>
  <c r="B37" i="8542"/>
  <c r="B24" i="265"/>
  <c r="C37" i="265"/>
  <c r="B39" i="8542"/>
  <c r="B18" i="8535"/>
  <c r="B36" i="8535"/>
  <c r="B38" i="8535"/>
  <c r="H36" i="8535"/>
  <c r="H38" i="8535"/>
  <c r="B33" i="8539"/>
  <c r="C37" i="8539"/>
  <c r="B14" i="8549"/>
  <c r="B37" i="8540"/>
  <c r="B39" i="8540"/>
  <c r="H37" i="8539"/>
  <c r="B19" i="8539"/>
  <c r="H39" i="265"/>
  <c r="B14" i="8539"/>
  <c r="B17" i="8539"/>
  <c r="C17" i="8539"/>
  <c r="H37" i="2948"/>
  <c r="B19" i="2948"/>
  <c r="B37" i="2948"/>
  <c r="B39" i="2948"/>
  <c r="C39" i="265"/>
  <c r="B37" i="8539"/>
  <c r="C39" i="8539"/>
  <c r="B37" i="8541"/>
  <c r="B39" i="8541"/>
  <c r="B39" i="8539"/>
  <c r="B39" i="265"/>
  <c r="B31" i="8550"/>
  <c r="B20" i="8550"/>
  <c r="B18" i="8550"/>
  <c r="B22" i="8550"/>
  <c r="B34" i="8550"/>
  <c r="I36" i="8550"/>
  <c r="B21" i="8550"/>
  <c r="L36" i="8550"/>
  <c r="H16" i="8550"/>
  <c r="B26" i="8550"/>
  <c r="B28" i="8550"/>
  <c r="B25" i="8550"/>
  <c r="B33" i="8550"/>
  <c r="F36" i="8550"/>
  <c r="B19" i="8550"/>
  <c r="B32" i="8550"/>
  <c r="B11" i="8550"/>
  <c r="B13" i="8550"/>
  <c r="B15" i="8550"/>
  <c r="E36" i="8550"/>
  <c r="C35" i="8550"/>
  <c r="C16" i="8550"/>
  <c r="C36" i="8550"/>
  <c r="M36" i="8550"/>
  <c r="G36" i="8550"/>
  <c r="D16" i="8550"/>
  <c r="H17" i="8550"/>
  <c r="H24" i="8550"/>
  <c r="B24" i="8550"/>
  <c r="D35" i="8550"/>
  <c r="B12" i="8550"/>
  <c r="B16" i="8550"/>
  <c r="H35" i="8550"/>
  <c r="H36" i="8550"/>
  <c r="B17" i="8550"/>
  <c r="B35" i="8550"/>
  <c r="D36" i="8550"/>
  <c r="H35" i="8551"/>
  <c r="B33" i="8551"/>
  <c r="B31" i="8551"/>
  <c r="B26" i="8551"/>
  <c r="B25" i="8551"/>
  <c r="B18" i="8551"/>
  <c r="L36" i="8551"/>
  <c r="C35" i="8551"/>
  <c r="B12" i="8551"/>
  <c r="K36" i="8551"/>
  <c r="I36" i="8551"/>
  <c r="M36" i="8551"/>
  <c r="B20" i="8551"/>
  <c r="B22" i="8551"/>
  <c r="B24" i="8551"/>
  <c r="B28" i="8551"/>
  <c r="B30" i="8551"/>
  <c r="D36" i="8551"/>
  <c r="B21" i="8551"/>
  <c r="B29" i="8551"/>
  <c r="E36" i="8551"/>
  <c r="B19" i="8551"/>
  <c r="B13" i="8551"/>
  <c r="B15" i="8551"/>
  <c r="F36" i="8551"/>
  <c r="G36" i="8551"/>
  <c r="H16" i="8551"/>
  <c r="B17" i="8551"/>
  <c r="B11" i="8551"/>
  <c r="H36" i="8551"/>
  <c r="C36" i="8551"/>
  <c r="B36" i="8551"/>
  <c r="B17" i="8549"/>
  <c r="K36" i="8546"/>
  <c r="B14" i="8546"/>
  <c r="B33" i="8546"/>
  <c r="B21" i="8546"/>
  <c r="B23" i="8546"/>
  <c r="B29" i="8546"/>
  <c r="E36" i="8546"/>
  <c r="M36" i="8546"/>
  <c r="J36" i="8546"/>
  <c r="H35" i="8546"/>
  <c r="B25" i="8546"/>
  <c r="C16" i="8546"/>
  <c r="B24" i="8546"/>
  <c r="B25" i="8547"/>
  <c r="B11" i="8547"/>
  <c r="B23" i="8547"/>
  <c r="B33" i="8547"/>
  <c r="B28" i="8547"/>
  <c r="C31" i="8547"/>
  <c r="E35" i="8547"/>
  <c r="E36" i="8547"/>
  <c r="C26" i="8547"/>
  <c r="B26" i="8547"/>
  <c r="C22" i="8547"/>
  <c r="B22" i="8547"/>
  <c r="K36" i="8547"/>
  <c r="B12" i="8547"/>
  <c r="B29" i="8547"/>
  <c r="J36" i="8547"/>
  <c r="B18" i="8547"/>
  <c r="B20" i="8547"/>
  <c r="B32" i="8547"/>
  <c r="B34" i="8547"/>
  <c r="L36" i="8547"/>
  <c r="B19" i="8547"/>
  <c r="B27" i="8547"/>
  <c r="B35" i="8548"/>
  <c r="H36" i="8548"/>
  <c r="C35" i="8548"/>
  <c r="C36" i="8548"/>
  <c r="B11" i="8548"/>
  <c r="B16" i="8548"/>
  <c r="B36" i="8548"/>
  <c r="B13" i="8548"/>
  <c r="B36" i="8549"/>
  <c r="B35" i="8549"/>
  <c r="H36" i="8549"/>
  <c r="C35" i="8549"/>
  <c r="C36" i="8549"/>
  <c r="B36" i="8550"/>
  <c r="H16" i="8546"/>
  <c r="B13" i="8546"/>
  <c r="B16" i="8546"/>
  <c r="C35" i="8546"/>
  <c r="B14" i="8544"/>
  <c r="D39" i="8544"/>
  <c r="B33" i="8544"/>
  <c r="B35" i="8544"/>
  <c r="B17" i="8544"/>
  <c r="E39" i="8544"/>
  <c r="I39" i="8544"/>
  <c r="B19" i="8544"/>
  <c r="B37" i="8544"/>
  <c r="B39" i="8544"/>
  <c r="B26" i="8544"/>
  <c r="B30" i="8544"/>
  <c r="B32" i="8544"/>
  <c r="B36" i="8544"/>
  <c r="H39" i="8544"/>
  <c r="C17" i="8544"/>
  <c r="C37" i="8544"/>
  <c r="B31" i="8547"/>
  <c r="B21" i="8547"/>
  <c r="G36" i="8547"/>
  <c r="C30" i="8547"/>
  <c r="M35" i="8547"/>
  <c r="C17" i="8547"/>
  <c r="B17" i="8547"/>
  <c r="D35" i="8547"/>
  <c r="D36" i="8547"/>
  <c r="B13" i="8547"/>
  <c r="H16" i="8547"/>
  <c r="M16" i="8547"/>
  <c r="H24" i="8547"/>
  <c r="B24" i="8547"/>
  <c r="C14" i="8547"/>
  <c r="B14" i="8547"/>
  <c r="B35" i="8546"/>
  <c r="B36" i="8546"/>
  <c r="C36" i="8546"/>
  <c r="H36" i="8546"/>
  <c r="M36" i="8547"/>
  <c r="C35" i="8547"/>
  <c r="C39" i="8544"/>
  <c r="B16" i="8547"/>
  <c r="B30" i="8547"/>
  <c r="B35" i="8547"/>
  <c r="H35" i="8547"/>
  <c r="H36" i="8547"/>
  <c r="C16" i="8547"/>
  <c r="C36" i="8547"/>
  <c r="B36" i="8547"/>
  <c r="B36" i="8552" l="1"/>
</calcChain>
</file>

<file path=xl/sharedStrings.xml><?xml version="1.0" encoding="utf-8"?>
<sst xmlns="http://schemas.openxmlformats.org/spreadsheetml/2006/main" count="1308" uniqueCount="116">
  <si>
    <t>seit 1996 nach Klassenstufen und Stadtbezirken</t>
  </si>
  <si>
    <t xml:space="preserve">Schüler an öffentlichen Grund- und Hauptschulen in Stuttgart am 13. Oktober 1999 </t>
  </si>
  <si>
    <t xml:space="preserve">            nach Klassenstufen und Stadtbezirken</t>
  </si>
  <si>
    <t>Grund-</t>
  </si>
  <si>
    <t>Davon</t>
  </si>
  <si>
    <t xml:space="preserve"> und</t>
  </si>
  <si>
    <t>davon in</t>
  </si>
  <si>
    <t>Haupt-</t>
  </si>
  <si>
    <t>Stadtbezirk</t>
  </si>
  <si>
    <t xml:space="preserve"> Haupt-</t>
  </si>
  <si>
    <t>schüler</t>
  </si>
  <si>
    <t>Klassenstufe</t>
  </si>
  <si>
    <t>insges.</t>
  </si>
  <si>
    <t>1</t>
  </si>
  <si>
    <t>2</t>
  </si>
  <si>
    <t>3</t>
  </si>
  <si>
    <t>4</t>
  </si>
  <si>
    <t>5</t>
  </si>
  <si>
    <t>6</t>
  </si>
  <si>
    <t>7</t>
  </si>
  <si>
    <t>8</t>
  </si>
  <si>
    <t>9 - 10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</si>
  <si>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</si>
  <si>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</si>
  <si>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</si>
  <si>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</si>
  <si>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</si>
  <si>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</si>
  <si>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</si>
  <si>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</si>
  <si>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</si>
  <si>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</si>
  <si>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</si>
  <si>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</si>
  <si>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</si>
  <si>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</si>
  <si>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</si>
  <si>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</si>
  <si>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</si>
  <si>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</si>
  <si>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</si>
  <si>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</si>
  <si>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</si>
  <si>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</si>
  <si>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</si>
  <si>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</si>
  <si>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</si>
  <si>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</si>
  <si>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 xml:space="preserve">Schüler an öffentlichen Grund- und Hauptschulen in Stuttgart am 14. Oktober 1998 </t>
  </si>
  <si>
    <t xml:space="preserve">Schüler an öffentlichen Grund- und Hauptschulen in Stuttgart am 15. Oktober 1997 </t>
  </si>
  <si>
    <t xml:space="preserve">Schüler an öffentlichen Grund- und Hauptschulen in Stuttgart am 9. Oktober 1996 </t>
  </si>
  <si>
    <t xml:space="preserve">Schüler an öffentlichen Grund- und Hauptschulen in Stuttgart am 11. Oktober 2000 </t>
  </si>
  <si>
    <t>Tabelle Nr.  2431</t>
  </si>
  <si>
    <t xml:space="preserve">Schüler an öffentlichen Grund- und Hauptschulen in Stuttgart 2001 </t>
  </si>
  <si>
    <t xml:space="preserve">Schüler an öffentlichen Grund- und Hauptschulen in Stuttgart 2002 </t>
  </si>
  <si>
    <t xml:space="preserve"> Amtliche Schulstatistik, Schulverwaltungsamt</t>
  </si>
  <si>
    <t>Der Auftrag der Grundschule ist die Vermittlung von Grundkenntnissen und Grund-</t>
  </si>
  <si>
    <t>fertigkeiten sowie die Entfaltung der verschiedenen Begabungen in einem gemein-</t>
  </si>
  <si>
    <t>samen Bildungsgang. Sie umfaßt vier Schuljahre. Danach erfolgt der Übergang</t>
  </si>
  <si>
    <t>auf eine weiterführende Schule.</t>
  </si>
  <si>
    <t>besonderem Maße praktische Begabungen, Neigungen und Leistungen. Sie</t>
  </si>
  <si>
    <t>schafft die Grundlage für eine Berufsausbildung und für weiterführende Bildungs-</t>
  </si>
  <si>
    <t>gänge. Sie baut auf der Grundschule auf und umfaßt fünf Pflichtschuljahre, die mit</t>
  </si>
  <si>
    <t>Periodizität:</t>
  </si>
  <si>
    <t>Die Statistik wird jährlich einen Monat nach Schuljahresbeginn erstellt</t>
  </si>
  <si>
    <t>und steht ab 30.09. des Folgejahres zur Verfügung.</t>
  </si>
  <si>
    <t>Rechtsgrundlage:</t>
  </si>
  <si>
    <t>Schulgesetz für Baden-Württemberg (SchG) in der Fassung vom 1. August 1983</t>
  </si>
  <si>
    <t>Gliederungstiefe</t>
  </si>
  <si>
    <t>Die räumliche Gliederung umfaßt die Stadtbezirke.</t>
  </si>
  <si>
    <t>Quelle:</t>
  </si>
  <si>
    <t>Erläuterungsblatt zu Tabelle Nr.  2431</t>
  </si>
  <si>
    <t>Erläuterungen:</t>
  </si>
  <si>
    <t xml:space="preserve">Schüler an öffentlichen Grund- und Hauptschulen in Stuttgart 2003 </t>
  </si>
  <si>
    <t xml:space="preserve">Schüler an öffentlichen Grund- und Hauptschulen in Stuttgart 2004 </t>
  </si>
  <si>
    <t xml:space="preserve">                            </t>
  </si>
  <si>
    <t xml:space="preserve"> </t>
  </si>
  <si>
    <t>davon in
Klassenstufe</t>
  </si>
  <si>
    <t>Quelle: Landeshauptstadt Stuttgart, Schulverwaltungsamt</t>
  </si>
  <si>
    <t>Tabelle Nr.  2431 - Jahrbuchtabelle</t>
  </si>
  <si>
    <t>Tabelle Nr.  2431 - Jahrbuchtabelle (CD)</t>
  </si>
  <si>
    <t>und Stadtbezirken</t>
  </si>
  <si>
    <r>
      <t>Grund- und Haupt- schüler insges.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</si>
  <si>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Ohne Sonderklassen.</t>
    </r>
  </si>
  <si>
    <r>
      <t>1</t>
    </r>
    <r>
      <rPr>
        <sz val="8"/>
        <rFont val="Arial"/>
        <family val="2"/>
      </rPr>
      <t xml:space="preserve">  Ohne Sonderklassen.</t>
    </r>
  </si>
  <si>
    <t>Grund- schüler ins- gesamt</t>
  </si>
  <si>
    <t>ins-</t>
  </si>
  <si>
    <t>gesamt</t>
  </si>
  <si>
    <t>Haupt- schüler ins- gesamt</t>
  </si>
  <si>
    <t>Werkreal-schüler ins- gesamt</t>
  </si>
  <si>
    <r>
      <t>Grund- und Werkreal-schüler insges.</t>
    </r>
    <r>
      <rPr>
        <vertAlign val="superscript"/>
        <sz val="8"/>
        <rFont val="Arial"/>
        <family val="2"/>
      </rPr>
      <t>1</t>
    </r>
  </si>
  <si>
    <t>Schüler an öffentlichen Grund- und Werkrealschulen in Stuttgart</t>
  </si>
  <si>
    <t>Nachgewiesen werden Grund- und Werkrealschulen</t>
  </si>
  <si>
    <t>Die Werkrealschule vermittelt eine grundlegende allgemeine Bildung und fördert in</t>
  </si>
  <si>
    <t>dem Werkrealschulabschluß beendet werden.</t>
  </si>
  <si>
    <t>(GBl. S. 397), zuletzt geändert durch das Gesetz vom 19.02.2019 (GBl. S. 53).</t>
  </si>
  <si>
    <r>
      <t>1</t>
    </r>
    <r>
      <rPr>
        <sz val="8"/>
        <rFont val="Arial"/>
        <family val="2"/>
      </rPr>
      <t xml:space="preserve"> ohne Sonder-/Vorbereitungs- und Kooperationsklassen </t>
    </r>
  </si>
  <si>
    <t>8.2.3 Schüler an öffentlichen Grund- und Werkrealschulen in Stuttgart 2017 nach Klassenstufen und Stadtbezirken</t>
  </si>
  <si>
    <t>8.2.3 Schüler an öffentlichen Grund- und Werkrealschulen in Stuttgart 2016 nach Klassenstufen und Stadtbezirken</t>
  </si>
  <si>
    <t>8.2.3 Schüler an öffentlichen Grund- und Werkrealschulen in Stuttgart 2015 nach Klassenstufen und Stadtbezirken</t>
  </si>
  <si>
    <t>8.2.3 Schüler an öffentlichen Grund- und Werkrealschulen in Stuttgart 2014 nach Klassenstufen und Stadtbezirken</t>
  </si>
  <si>
    <t>8.2.3 Schüler an öffentlichen Grund- und Werkrealschulen in Stuttgart 2013 nach Klassenstufen und Stadtbezirken</t>
  </si>
  <si>
    <t>8.2.3 Schüler an öffentlichen Grund- und Werkrealschulen in Stuttgart 2012 nach Klassenstufen und Stadtbezirken</t>
  </si>
  <si>
    <t>8.2.3  Schüler an öffentlichen Grund- und Hauptschulen in Stuttgart 2011 nach Klassenstufen</t>
  </si>
  <si>
    <t>8.2.3  Schüler an öffentlichen Grund- und Hauptschulen in Stuttgart 2010 nach Klassenstufen</t>
  </si>
  <si>
    <t>8.2.3  Schüler an öffentlichen Grund- und Hauptschulen in Stuttgart 2009 nach Klassenstufen</t>
  </si>
  <si>
    <t>8.2.3  Schüler an öffentlichen Grund- und Hauptschulen in Stuttgart 2008 nach Klassenstufen</t>
  </si>
  <si>
    <t>8.2.3  Schüler an öffentlichen Grund- und Hauptschulen in Stuttgart 2007 nach Klassenstufen</t>
  </si>
  <si>
    <t>8.2.3 Schüler an öffentlichen Grund- und Hauptschulen in Stuttgart 2006 nach Klassenstufen und Stadtbezirken</t>
  </si>
  <si>
    <t>8.2.3 Schüler an öffentlichen Grund- und Hauptschulen in Stuttgart 2005 nach Klassenstufen und Stadtbezirken</t>
  </si>
  <si>
    <t>8.3.3 Schüler an öffentlichen Grund- und Werkrealschulen in Stuttgart 2018 nach Klassenstufen und Stadtbezirken</t>
  </si>
  <si>
    <t>8.3.3 Schüler an öffentlichen Grund- und Werkrealschulen in Stuttgart 2019 nach Klassenstufen und Stadtbezirken</t>
  </si>
  <si>
    <t>8.3.3 Schüler an öffentlichen Grund- und Werkrealschulen in Stuttgart 2020 nach Klassenstufen und Stadtbezirken</t>
  </si>
  <si>
    <t>8.3.3 Schüler an öffentlichen Grund- und Werkrealschulen in Stuttgart 2021 nach Klassenstufen und Stadtbezirken</t>
  </si>
  <si>
    <t>8.3.3 Schüler an öffentlichen Grund- und Werkrealschulen in Stuttgart 2022 nach Klassenstufen und Stadtbezirken</t>
  </si>
  <si>
    <t>8.3.3 Schüler an öffentlichen Grund- und Werkrealschulen in Stuttgart 2023 nach Klassenstufen und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</si>
</sst>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0__;\-\ #\ ###\ ##0__;\-__"/>
  </numFmts>
  <fonts count="13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</borders>
  <cellStyleXfs count="9">
    <xf numFmtId="164" fontId="0" fillId="0" borderId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164" fontId="5" fillId="0" borderId="0" applyFill="0" applyBorder="0" applyAlignment="0" applyProtection="0">
      <alignment vertical="center"/>
    </xf>
    <xf numFmtId="0" fontId="3" fillId="0" borderId="0"/>
    <xf numFmtId="0" fontId="2" fillId="0" borderId="0"/>
    <xf numFmtId="0" fontId="1" fillId="0" borderId="0"/>
  </cellStyleXfs>
  <cellXfs count="83">
    <xf numFmtId="164" fontId="0" fillId="0" borderId="0" xfId="0" applyAlignment="1"/>
    <xf numFmtId="164" fontId="7" fillId="0" borderId="0" xfId="0" applyFont="1" applyAlignment="1">
      <alignment horizontal="centerContinuous"/>
    </xf>
    <xf numFmtId="164" fontId="6" fillId="0" borderId="0" xfId="0" quotePrefix="1" applyFont="1" applyAlignment="1">
      <alignment horizontal="centerContinuous"/>
    </xf>
    <xf numFmtId="164" fontId="6" fillId="0" borderId="0" xfId="0" applyFont="1" applyAlignment="1">
      <alignment horizontal="centerContinuous"/>
    </xf>
    <xf numFmtId="164" fontId="8" fillId="0" borderId="0" xfId="0" applyFont="1" applyAlignment="1"/>
    <xf numFmtId="164" fontId="7" fillId="0" borderId="0" xfId="0" applyFont="1" applyBorder="1" applyAlignment="1"/>
    <xf numFmtId="164" fontId="6" fillId="0" borderId="0" xfId="0" applyFont="1" applyBorder="1" applyAlignment="1"/>
    <xf numFmtId="164" fontId="7" fillId="0" borderId="1" xfId="0" applyFont="1" applyBorder="1" applyAlignment="1"/>
    <xf numFmtId="164" fontId="7" fillId="0" borderId="2" xfId="0" applyFont="1" applyBorder="1" applyAlignment="1"/>
    <xf numFmtId="164" fontId="7" fillId="0" borderId="3" xfId="0" applyFont="1" applyBorder="1" applyAlignment="1"/>
    <xf numFmtId="164" fontId="7" fillId="0" borderId="4" xfId="0" quotePrefix="1" applyFont="1" applyBorder="1" applyAlignment="1">
      <alignment horizontal="center"/>
    </xf>
    <xf numFmtId="164" fontId="7" fillId="0" borderId="4" xfId="0" applyFont="1" applyBorder="1" applyAlignment="1">
      <alignment horizontal="center"/>
    </xf>
    <xf numFmtId="164" fontId="6" fillId="0" borderId="4" xfId="0" applyFont="1" applyBorder="1" applyAlignment="1">
      <alignment horizontal="center"/>
    </xf>
    <xf numFmtId="164" fontId="7" fillId="0" borderId="4" xfId="0" applyFont="1" applyBorder="1" applyAlignment="1"/>
    <xf numFmtId="164" fontId="6" fillId="0" borderId="4" xfId="0" applyFont="1" applyBorder="1" applyAlignment="1"/>
    <xf numFmtId="164" fontId="7" fillId="0" borderId="4" xfId="0" quotePrefix="1" applyFont="1" applyBorder="1" applyAlignment="1"/>
    <xf numFmtId="164" fontId="7" fillId="0" borderId="5" xfId="0" applyFont="1" applyBorder="1" applyAlignment="1"/>
    <xf numFmtId="164" fontId="7" fillId="0" borderId="6" xfId="0" quotePrefix="1" applyFont="1" applyBorder="1" applyAlignment="1"/>
    <xf numFmtId="164" fontId="7" fillId="0" borderId="2" xfId="0" applyFont="1" applyBorder="1" applyAlignment="1">
      <alignment horizontal="center"/>
    </xf>
    <xf numFmtId="164" fontId="7" fillId="0" borderId="6" xfId="0" applyFont="1" applyBorder="1" applyAlignment="1"/>
    <xf numFmtId="164" fontId="0" fillId="0" borderId="0" xfId="0" applyFont="1" applyAlignment="1"/>
    <xf numFmtId="164" fontId="0" fillId="0" borderId="0" xfId="0" applyFont="1" applyFill="1" applyBorder="1" applyAlignment="1"/>
    <xf numFmtId="164" fontId="0" fillId="0" borderId="0" xfId="0" applyFont="1" applyAlignment="1">
      <alignment horizontal="centerContinuous"/>
    </xf>
    <xf numFmtId="164" fontId="0" fillId="0" borderId="7" xfId="0" applyFont="1" applyBorder="1" applyAlignment="1"/>
    <xf numFmtId="164" fontId="0" fillId="0" borderId="8" xfId="0" applyFont="1" applyBorder="1" applyAlignment="1"/>
    <xf numFmtId="164" fontId="0" fillId="0" borderId="8" xfId="0" applyFont="1" applyBorder="1" applyAlignment="1">
      <alignment horizontal="center"/>
    </xf>
    <xf numFmtId="164" fontId="0" fillId="0" borderId="7" xfId="0" applyFont="1" applyBorder="1" applyAlignment="1">
      <alignment horizontal="centerContinuous"/>
    </xf>
    <xf numFmtId="164" fontId="0" fillId="0" borderId="4" xfId="0" applyFont="1" applyBorder="1" applyAlignment="1">
      <alignment horizontal="center"/>
    </xf>
    <xf numFmtId="164" fontId="0" fillId="0" borderId="8" xfId="0" applyFont="1" applyBorder="1" applyAlignment="1">
      <alignment horizontal="centerContinuous"/>
    </xf>
    <xf numFmtId="164" fontId="0" fillId="0" borderId="8" xfId="0" applyFont="1" applyBorder="1" applyAlignment="1">
      <alignment horizontal="left"/>
    </xf>
    <xf numFmtId="164" fontId="0" fillId="0" borderId="9" xfId="0" applyFont="1" applyBorder="1" applyAlignment="1">
      <alignment horizontal="centerContinuous"/>
    </xf>
    <xf numFmtId="164" fontId="0" fillId="0" borderId="10" xfId="0" applyFont="1" applyBorder="1" applyAlignment="1">
      <alignment horizontal="centerContinuous"/>
    </xf>
    <xf numFmtId="164" fontId="0" fillId="0" borderId="9" xfId="0" applyFont="1" applyBorder="1" applyAlignment="1"/>
    <xf numFmtId="164" fontId="0" fillId="0" borderId="0" xfId="0" applyFont="1" applyAlignment="1">
      <alignment horizontal="centerContinuous" vertical="top"/>
    </xf>
    <xf numFmtId="164" fontId="0" fillId="0" borderId="8" xfId="0" applyFont="1" applyBorder="1" applyAlignment="1">
      <alignment horizontal="centerContinuous" vertical="top"/>
    </xf>
    <xf numFmtId="164" fontId="0" fillId="0" borderId="11" xfId="0" applyFont="1" applyBorder="1" applyAlignment="1"/>
    <xf numFmtId="164" fontId="0" fillId="0" borderId="11" xfId="0" applyFont="1" applyBorder="1" applyAlignment="1">
      <alignment horizontal="centerContinuous"/>
    </xf>
    <xf numFmtId="164" fontId="0" fillId="0" borderId="12" xfId="0" applyFont="1" applyBorder="1" applyAlignment="1">
      <alignment horizontal="centerContinuous"/>
    </xf>
    <xf numFmtId="164" fontId="0" fillId="0" borderId="12" xfId="0" applyFont="1" applyBorder="1" applyAlignment="1">
      <alignment horizontal="center"/>
    </xf>
    <xf numFmtId="164" fontId="0" fillId="0" borderId="13" xfId="0" applyFont="1" applyBorder="1" applyAlignment="1">
      <alignment horizontal="centerContinuous"/>
    </xf>
    <xf numFmtId="164" fontId="0" fillId="0" borderId="0" xfId="0" applyFont="1" applyBorder="1" applyAlignment="1"/>
    <xf numFmtId="164" fontId="8" fillId="0" borderId="8" xfId="0" applyFont="1" applyBorder="1" applyAlignment="1">
      <alignment horizontal="left"/>
    </xf>
    <xf numFmtId="164" fontId="0" fillId="0" borderId="0" xfId="0" applyFont="1" applyAlignment="1" applyProtection="1"/>
    <xf numFmtId="164" fontId="0" fillId="0" borderId="4" xfId="0" applyFont="1" applyBorder="1" applyAlignment="1">
      <alignment horizontal="left"/>
    </xf>
    <xf numFmtId="164" fontId="8" fillId="0" borderId="4" xfId="0" applyFont="1" applyBorder="1" applyAlignment="1">
      <alignment horizontal="left"/>
    </xf>
    <xf numFmtId="164" fontId="0" fillId="0" borderId="0" xfId="0" quotePrefix="1" applyFont="1" applyAlignment="1">
      <alignment horizontal="left"/>
    </xf>
    <xf numFmtId="164" fontId="7" fillId="2" borderId="0" xfId="0" applyFont="1" applyFill="1" applyAlignment="1"/>
    <xf numFmtId="164" fontId="0" fillId="2" borderId="14" xfId="0" applyFont="1" applyFill="1" applyBorder="1" applyAlignment="1">
      <alignment horizontal="centerContinuous"/>
    </xf>
    <xf numFmtId="164" fontId="0" fillId="2" borderId="15" xfId="0" applyFont="1" applyFill="1" applyBorder="1" applyAlignment="1">
      <alignment horizontal="centerContinuous"/>
    </xf>
    <xf numFmtId="164" fontId="0" fillId="2" borderId="16" xfId="0" applyFont="1" applyFill="1" applyBorder="1" applyAlignment="1">
      <alignment horizontal="centerContinuous"/>
    </xf>
    <xf numFmtId="164" fontId="0" fillId="2" borderId="16" xfId="0" applyFont="1" applyFill="1" applyBorder="1" applyAlignment="1">
      <alignment horizontal="center"/>
    </xf>
    <xf numFmtId="164" fontId="0" fillId="2" borderId="17" xfId="0" applyFont="1" applyFill="1" applyBorder="1" applyAlignment="1">
      <alignment horizontal="centerContinuous"/>
    </xf>
    <xf numFmtId="164" fontId="0" fillId="2" borderId="18" xfId="0" applyFont="1" applyFill="1" applyBorder="1" applyAlignment="1"/>
    <xf numFmtId="164" fontId="0" fillId="2" borderId="19" xfId="0" applyFont="1" applyFill="1" applyBorder="1" applyAlignment="1">
      <alignment horizontal="left"/>
    </xf>
    <xf numFmtId="164" fontId="0" fillId="0" borderId="0" xfId="0" applyFont="1" applyFill="1" applyAlignment="1"/>
    <xf numFmtId="164" fontId="8" fillId="2" borderId="19" xfId="0" applyFont="1" applyFill="1" applyBorder="1" applyAlignment="1">
      <alignment horizontal="left"/>
    </xf>
    <xf numFmtId="164" fontId="8" fillId="0" borderId="0" xfId="0" applyFont="1" applyFill="1" applyAlignment="1"/>
    <xf numFmtId="164" fontId="11" fillId="0" borderId="0" xfId="0" applyFont="1" applyBorder="1" applyAlignment="1">
      <alignment horizontal="left" vertical="center"/>
    </xf>
    <xf numFmtId="164" fontId="0" fillId="0" borderId="0" xfId="0" applyFont="1" applyAlignment="1">
      <alignment vertical="center"/>
    </xf>
    <xf numFmtId="164" fontId="10" fillId="0" borderId="0" xfId="0" quotePrefix="1" applyFont="1" applyAlignment="1">
      <alignment horizontal="left" vertical="center"/>
    </xf>
    <xf numFmtId="164" fontId="0" fillId="0" borderId="0" xfId="0" applyFont="1" applyAlignment="1">
      <alignment horizontal="left" vertical="center"/>
    </xf>
    <xf numFmtId="0" fontId="0" fillId="2" borderId="16" xfId="0" applyNumberFormat="1" applyFont="1" applyFill="1" applyBorder="1" applyAlignment="1">
      <alignment horizontal="centerContinuous"/>
    </xf>
    <xf numFmtId="0" fontId="0" fillId="2" borderId="16" xfId="0" applyNumberFormat="1" applyFont="1" applyFill="1" applyBorder="1" applyAlignment="1">
      <alignment horizontal="center"/>
    </xf>
    <xf numFmtId="164" fontId="0" fillId="0" borderId="0" xfId="0" applyFont="1" applyFill="1" applyBorder="1" applyAlignment="1">
      <alignment horizontal="centerContinuous"/>
    </xf>
    <xf numFmtId="164" fontId="11" fillId="0" borderId="0" xfId="5" applyFont="1" applyFill="1" applyBorder="1" applyAlignment="1">
      <alignment horizontal="left" vertical="center"/>
    </xf>
    <xf numFmtId="164" fontId="0" fillId="0" borderId="0" xfId="5" applyFont="1" applyFill="1" applyBorder="1" applyAlignment="1">
      <alignment vertical="center"/>
    </xf>
    <xf numFmtId="0" fontId="7" fillId="0" borderId="0" xfId="6" applyFont="1"/>
    <xf numFmtId="164" fontId="7" fillId="2" borderId="0" xfId="0" applyFont="1" applyFill="1" applyAlignment="1">
      <alignment horizontal="left" vertical="center" indent="4"/>
    </xf>
    <xf numFmtId="164" fontId="3" fillId="2" borderId="0" xfId="0" applyFont="1" applyFill="1" applyAlignment="1">
      <alignment horizontal="left" vertical="center"/>
    </xf>
    <xf numFmtId="164" fontId="0" fillId="0" borderId="4" xfId="0" applyBorder="1" applyAlignment="1">
      <alignment horizontal="center"/>
    </xf>
    <xf numFmtId="164" fontId="0" fillId="0" borderId="6" xfId="0" applyBorder="1" applyAlignment="1">
      <alignment horizontal="center"/>
    </xf>
    <xf numFmtId="164" fontId="3" fillId="2" borderId="0" xfId="0" applyFont="1" applyFill="1" applyAlignment="1">
      <alignment horizontal="left" vertical="center" indent="4"/>
    </xf>
    <xf numFmtId="164" fontId="3" fillId="0" borderId="4" xfId="0" applyFont="1" applyBorder="1" applyAlignment="1"/>
    <xf numFmtId="164" fontId="8" fillId="2" borderId="19" xfId="0" applyFont="1" applyFill="1" applyBorder="1" applyAlignment="1">
      <alignment horizontal="left" vertical="center"/>
    </xf>
    <xf numFmtId="164" fontId="0" fillId="0" borderId="0" xfId="0" applyFont="1" applyFill="1" applyAlignment="1">
      <alignment vertical="center"/>
    </xf>
    <xf numFmtId="164" fontId="8" fillId="0" borderId="0" xfId="0" applyFont="1" applyFill="1" applyAlignment="1">
      <alignment vertical="center"/>
    </xf>
    <xf numFmtId="164" fontId="8" fillId="0" borderId="0" xfId="0" applyFont="1" applyAlignment="1">
      <alignment vertical="center"/>
    </xf>
    <xf numFmtId="164" fontId="0" fillId="2" borderId="16" xfId="0" applyFont="1" applyFill="1" applyBorder="1" applyAlignment="1">
      <alignment horizontal="center" vertical="center" wrapText="1"/>
    </xf>
    <xf numFmtId="164" fontId="0" fillId="2" borderId="16" xfId="0" applyFont="1" applyFill="1" applyBorder="1" applyAlignment="1">
      <alignment horizontal="center" vertical="center"/>
    </xf>
    <xf numFmtId="164" fontId="0" fillId="2" borderId="17" xfId="0" applyFont="1" applyFill="1" applyBorder="1" applyAlignment="1">
      <alignment horizontal="center" vertical="center"/>
    </xf>
    <xf numFmtId="164" fontId="0" fillId="2" borderId="14" xfId="0" applyFont="1" applyFill="1" applyBorder="1" applyAlignment="1">
      <alignment horizontal="center" vertical="center" wrapText="1"/>
    </xf>
    <xf numFmtId="164" fontId="0" fillId="2" borderId="14" xfId="0" applyFill="1" applyBorder="1" applyAlignment="1">
      <alignment horizontal="center" vertical="center" wrapText="1"/>
    </xf>
    <xf numFmtId="164" fontId="0" fillId="2" borderId="16" xfId="0" applyFill="1" applyBorder="1" applyAlignment="1">
      <alignment horizontal="center" vertical="center" wrapText="1"/>
    </xf>
  </cellXfs>
  <cellStyles count="9">
    <cellStyle name="Dez 1" xfId="1"/>
    <cellStyle name="Dez 2" xfId="2"/>
    <cellStyle name="Dez 3" xfId="3"/>
    <cellStyle name="Ganz" xfId="4"/>
    <cellStyle name="Standard" xfId="0" builtinId="0"/>
    <cellStyle name="Standard 2" xfId="7"/>
    <cellStyle name="Standard 3" xfId="8"/>
    <cellStyle name="Standard_2006" xfId="5"/>
    <cellStyle name="Standard_rp01_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27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2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7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19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1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6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2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1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6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38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1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4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0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3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5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09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workbookViewId="0">
      <selection activeCell="B37" sqref="B37"/>
    </sheetView>
  </sheetViews>
  <sheetFormatPr baseColWidth="10" defaultColWidth="12" defaultRowHeight="12.75" customHeight="1" x14ac:dyDescent="0.25"/>
  <cols>
    <col min="1" max="1" width="2.7109375" style="5" customWidth="1"/>
    <col min="2" max="2" width="104.7109375" style="5" customWidth="1"/>
    <col min="3" max="9" width="12" style="5"/>
    <col min="10" max="10" width="17.140625" style="5" customWidth="1"/>
    <col min="11" max="16384" width="12" style="5"/>
  </cols>
  <sheetData>
    <row r="1" spans="1:10" ht="12.75" customHeight="1" x14ac:dyDescent="0.25">
      <c r="A1" s="7"/>
      <c r="B1" s="8"/>
    </row>
    <row r="2" spans="1:10" ht="12.75" customHeight="1" x14ac:dyDescent="0.25">
      <c r="A2" s="9"/>
      <c r="B2" s="10" t="s">
        <v>71</v>
      </c>
    </row>
    <row r="3" spans="1:10" ht="12.75" customHeight="1" x14ac:dyDescent="0.25">
      <c r="A3" s="9"/>
      <c r="B3" s="11"/>
    </row>
    <row r="4" spans="1:10" ht="12.75" customHeight="1" x14ac:dyDescent="0.25">
      <c r="A4" s="7"/>
      <c r="B4" s="18"/>
    </row>
    <row r="5" spans="1:10" ht="12.75" customHeight="1" x14ac:dyDescent="0.25">
      <c r="A5" s="9"/>
      <c r="B5" s="12" t="s">
        <v>91</v>
      </c>
      <c r="C5" s="6"/>
      <c r="D5" s="6"/>
      <c r="E5" s="6"/>
      <c r="F5" s="6"/>
      <c r="G5" s="6"/>
      <c r="H5" s="6"/>
      <c r="I5" s="6"/>
      <c r="J5" s="6"/>
    </row>
    <row r="6" spans="1:10" ht="12.75" customHeight="1" x14ac:dyDescent="0.25">
      <c r="A6" s="9"/>
      <c r="B6" s="12" t="s">
        <v>0</v>
      </c>
    </row>
    <row r="7" spans="1:10" ht="12.75" customHeight="1" x14ac:dyDescent="0.25">
      <c r="A7" s="16"/>
      <c r="B7" s="19"/>
    </row>
    <row r="8" spans="1:10" ht="12.75" customHeight="1" x14ac:dyDescent="0.25">
      <c r="A8" s="9"/>
      <c r="B8" s="13"/>
    </row>
    <row r="9" spans="1:10" ht="12.75" customHeight="1" x14ac:dyDescent="0.25">
      <c r="A9" s="9"/>
      <c r="B9" s="14" t="s">
        <v>72</v>
      </c>
    </row>
    <row r="10" spans="1:10" ht="12.75" customHeight="1" x14ac:dyDescent="0.25">
      <c r="A10" s="9"/>
      <c r="B10" s="13"/>
    </row>
    <row r="11" spans="1:10" ht="12.75" customHeight="1" x14ac:dyDescent="0.25">
      <c r="A11" s="9"/>
      <c r="B11" s="72" t="s">
        <v>92</v>
      </c>
    </row>
    <row r="12" spans="1:10" ht="12.75" customHeight="1" x14ac:dyDescent="0.25">
      <c r="A12" s="9"/>
      <c r="B12" s="13"/>
    </row>
    <row r="13" spans="1:10" ht="12.75" customHeight="1" x14ac:dyDescent="0.25">
      <c r="A13" s="9"/>
      <c r="B13" s="13" t="s">
        <v>56</v>
      </c>
    </row>
    <row r="14" spans="1:10" ht="12.75" customHeight="1" x14ac:dyDescent="0.25">
      <c r="A14" s="9"/>
      <c r="B14" s="13" t="s">
        <v>57</v>
      </c>
    </row>
    <row r="15" spans="1:10" ht="12.75" customHeight="1" x14ac:dyDescent="0.25">
      <c r="A15" s="9"/>
      <c r="B15" s="13" t="s">
        <v>58</v>
      </c>
    </row>
    <row r="16" spans="1:10" ht="12.75" customHeight="1" x14ac:dyDescent="0.25">
      <c r="A16" s="9"/>
      <c r="B16" s="13" t="s">
        <v>59</v>
      </c>
    </row>
    <row r="17" spans="1:2" ht="12.75" customHeight="1" x14ac:dyDescent="0.25">
      <c r="A17" s="9"/>
      <c r="B17" s="14"/>
    </row>
    <row r="18" spans="1:2" ht="12.75" customHeight="1" x14ac:dyDescent="0.25">
      <c r="A18" s="9"/>
      <c r="B18" s="72" t="s">
        <v>93</v>
      </c>
    </row>
    <row r="19" spans="1:2" ht="12.75" customHeight="1" x14ac:dyDescent="0.25">
      <c r="A19" s="9"/>
      <c r="B19" s="13" t="s">
        <v>60</v>
      </c>
    </row>
    <row r="20" spans="1:2" ht="12.75" customHeight="1" x14ac:dyDescent="0.25">
      <c r="A20" s="9"/>
      <c r="B20" s="13" t="s">
        <v>61</v>
      </c>
    </row>
    <row r="21" spans="1:2" ht="12.75" customHeight="1" x14ac:dyDescent="0.25">
      <c r="A21" s="9"/>
      <c r="B21" s="13" t="s">
        <v>62</v>
      </c>
    </row>
    <row r="22" spans="1:2" ht="12.75" customHeight="1" x14ac:dyDescent="0.25">
      <c r="A22" s="9"/>
      <c r="B22" s="72" t="s">
        <v>94</v>
      </c>
    </row>
    <row r="23" spans="1:2" ht="12.75" customHeight="1" x14ac:dyDescent="0.25">
      <c r="A23" s="9"/>
      <c r="B23" s="13"/>
    </row>
    <row r="24" spans="1:2" ht="12.75" customHeight="1" x14ac:dyDescent="0.25">
      <c r="A24" s="7"/>
      <c r="B24" s="8"/>
    </row>
    <row r="25" spans="1:2" ht="12.75" customHeight="1" x14ac:dyDescent="0.25">
      <c r="A25" s="9"/>
      <c r="B25" s="14" t="s">
        <v>63</v>
      </c>
    </row>
    <row r="26" spans="1:2" ht="12.75" customHeight="1" x14ac:dyDescent="0.25">
      <c r="A26" s="9"/>
      <c r="B26" s="13"/>
    </row>
    <row r="27" spans="1:2" ht="12.75" customHeight="1" x14ac:dyDescent="0.25">
      <c r="A27" s="9"/>
      <c r="B27" s="13" t="s">
        <v>64</v>
      </c>
    </row>
    <row r="28" spans="1:2" ht="12.75" customHeight="1" x14ac:dyDescent="0.25">
      <c r="A28" s="9"/>
      <c r="B28" s="15" t="s">
        <v>65</v>
      </c>
    </row>
    <row r="29" spans="1:2" ht="12.75" customHeight="1" x14ac:dyDescent="0.25">
      <c r="A29" s="16"/>
      <c r="B29" s="19"/>
    </row>
    <row r="30" spans="1:2" ht="12.75" customHeight="1" x14ac:dyDescent="0.25">
      <c r="A30" s="9"/>
      <c r="B30" s="13"/>
    </row>
    <row r="31" spans="1:2" ht="12.75" customHeight="1" x14ac:dyDescent="0.25">
      <c r="A31" s="9"/>
      <c r="B31" s="14" t="s">
        <v>66</v>
      </c>
    </row>
    <row r="32" spans="1:2" ht="12.75" customHeight="1" x14ac:dyDescent="0.25">
      <c r="A32" s="9"/>
      <c r="B32" s="13"/>
    </row>
    <row r="33" spans="1:2" ht="12.75" customHeight="1" x14ac:dyDescent="0.25">
      <c r="A33" s="9"/>
      <c r="B33" s="13" t="s">
        <v>67</v>
      </c>
    </row>
    <row r="34" spans="1:2" ht="12.75" customHeight="1" x14ac:dyDescent="0.25">
      <c r="A34" s="9"/>
      <c r="B34" s="72" t="s">
        <v>95</v>
      </c>
    </row>
    <row r="35" spans="1:2" ht="12.75" customHeight="1" x14ac:dyDescent="0.25">
      <c r="A35" s="9"/>
      <c r="B35" s="13"/>
    </row>
    <row r="36" spans="1:2" ht="12.75" customHeight="1" x14ac:dyDescent="0.25">
      <c r="A36" s="7"/>
      <c r="B36" s="8"/>
    </row>
    <row r="37" spans="1:2" ht="12.75" customHeight="1" x14ac:dyDescent="0.25">
      <c r="A37" s="9"/>
      <c r="B37" s="14" t="s">
        <v>68</v>
      </c>
    </row>
    <row r="38" spans="1:2" ht="12.75" customHeight="1" x14ac:dyDescent="0.25">
      <c r="A38" s="9"/>
      <c r="B38" s="13"/>
    </row>
    <row r="39" spans="1:2" ht="12.75" customHeight="1" x14ac:dyDescent="0.25">
      <c r="A39" s="9"/>
      <c r="B39" s="15" t="s">
        <v>69</v>
      </c>
    </row>
    <row r="40" spans="1:2" ht="12.75" customHeight="1" x14ac:dyDescent="0.25">
      <c r="A40" s="16"/>
      <c r="B40" s="19"/>
    </row>
    <row r="41" spans="1:2" ht="12.75" customHeight="1" x14ac:dyDescent="0.25">
      <c r="A41" s="9"/>
      <c r="B41" s="13"/>
    </row>
    <row r="42" spans="1:2" ht="12.75" customHeight="1" x14ac:dyDescent="0.25">
      <c r="A42" s="9"/>
      <c r="B42" s="14" t="s">
        <v>70</v>
      </c>
    </row>
    <row r="43" spans="1:2" ht="12.75" customHeight="1" x14ac:dyDescent="0.25">
      <c r="A43" s="9"/>
      <c r="B43" s="13"/>
    </row>
    <row r="44" spans="1:2" ht="12.75" customHeight="1" x14ac:dyDescent="0.25">
      <c r="A44" s="9"/>
      <c r="B44" s="13" t="s">
        <v>55</v>
      </c>
    </row>
    <row r="45" spans="1:2" ht="12.75" customHeight="1" x14ac:dyDescent="0.25">
      <c r="A45" s="16"/>
      <c r="B45" s="17"/>
    </row>
  </sheetData>
  <phoneticPr fontId="9" type="noConversion"/>
  <pageMargins left="0.78740157480314998" right="0.78740157480314998" top="0.78740157480314998" bottom="0.78740157480314998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Normal="100" workbookViewId="0">
      <selection activeCell="I6" sqref="I6:M8"/>
    </sheetView>
  </sheetViews>
  <sheetFormatPr baseColWidth="10" defaultColWidth="8.42578125" defaultRowHeight="12.75" customHeight="1" x14ac:dyDescent="0.2"/>
  <cols>
    <col min="1" max="1" width="21.7109375" style="20" customWidth="1"/>
    <col min="2" max="2" width="9.140625" style="20" customWidth="1"/>
    <col min="3" max="3" width="8" style="20" customWidth="1"/>
    <col min="4" max="7" width="7.7109375" style="20" customWidth="1"/>
    <col min="8" max="8" width="9.140625" style="20" customWidth="1"/>
    <col min="9" max="13" width="7.7109375" style="20" customWidth="1"/>
    <col min="14" max="14" width="6.7109375" style="20" customWidth="1"/>
    <col min="15" max="15" width="7.7109375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26.7" customHeight="1" x14ac:dyDescent="0.25">
      <c r="A3" s="68" t="s">
        <v>99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14.7" customHeight="1" thickBot="1" x14ac:dyDescent="0.25">
      <c r="A5" s="80" t="s">
        <v>8</v>
      </c>
      <c r="B5" s="81" t="s">
        <v>90</v>
      </c>
      <c r="C5" s="47" t="s">
        <v>4</v>
      </c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4" ht="14.7" customHeight="1" thickBot="1" x14ac:dyDescent="0.25">
      <c r="A6" s="77"/>
      <c r="B6" s="77"/>
      <c r="C6" s="82" t="s">
        <v>85</v>
      </c>
      <c r="D6" s="77" t="s">
        <v>77</v>
      </c>
      <c r="E6" s="78"/>
      <c r="F6" s="78"/>
      <c r="G6" s="78"/>
      <c r="H6" s="82" t="s">
        <v>89</v>
      </c>
      <c r="I6" s="77" t="s">
        <v>77</v>
      </c>
      <c r="J6" s="78"/>
      <c r="K6" s="78"/>
      <c r="L6" s="78"/>
      <c r="M6" s="79"/>
    </row>
    <row r="7" spans="1:14" ht="14.7" customHeight="1" thickBot="1" x14ac:dyDescent="0.25">
      <c r="A7" s="77"/>
      <c r="B7" s="77"/>
      <c r="C7" s="77"/>
      <c r="D7" s="78"/>
      <c r="E7" s="78"/>
      <c r="F7" s="78"/>
      <c r="G7" s="78"/>
      <c r="H7" s="77"/>
      <c r="I7" s="78"/>
      <c r="J7" s="78"/>
      <c r="K7" s="78"/>
      <c r="L7" s="78"/>
      <c r="M7" s="79"/>
    </row>
    <row r="8" spans="1:14" ht="14.7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4.7" customHeight="1" thickBot="1" x14ac:dyDescent="0.25">
      <c r="A9" s="77"/>
      <c r="B9" s="77"/>
      <c r="C9" s="77"/>
      <c r="D9" s="61">
        <v>1</v>
      </c>
      <c r="E9" s="61">
        <v>2</v>
      </c>
      <c r="F9" s="61">
        <v>3</v>
      </c>
      <c r="G9" s="62">
        <v>4</v>
      </c>
      <c r="H9" s="77"/>
      <c r="I9" s="61">
        <v>5</v>
      </c>
      <c r="J9" s="61">
        <v>6</v>
      </c>
      <c r="K9" s="61">
        <v>7</v>
      </c>
      <c r="L9" s="61">
        <v>8</v>
      </c>
      <c r="M9" s="51" t="s">
        <v>21</v>
      </c>
    </row>
    <row r="10" spans="1:14" ht="12.75" customHeight="1" x14ac:dyDescent="0.2">
      <c r="A10" s="5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 t="s">
        <v>76</v>
      </c>
    </row>
    <row r="11" spans="1:14" ht="12.75" customHeight="1" x14ac:dyDescent="0.2">
      <c r="A11" s="53" t="s">
        <v>22</v>
      </c>
      <c r="B11" s="54">
        <f>C11+H11</f>
        <v>181</v>
      </c>
      <c r="C11" s="54">
        <f>SUM(D11:G11)</f>
        <v>181</v>
      </c>
      <c r="D11" s="54">
        <v>52</v>
      </c>
      <c r="E11" s="54">
        <v>42</v>
      </c>
      <c r="F11" s="54">
        <v>42</v>
      </c>
      <c r="G11" s="21">
        <v>45</v>
      </c>
      <c r="H11" s="54">
        <f>I11+J11+K11+L11+M11</f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</row>
    <row r="12" spans="1:14" ht="12.75" customHeight="1" x14ac:dyDescent="0.2">
      <c r="A12" s="53" t="s">
        <v>23</v>
      </c>
      <c r="B12" s="54">
        <f>C12+H12</f>
        <v>1213</v>
      </c>
      <c r="C12" s="54">
        <f>SUM(D12:G12)</f>
        <v>987</v>
      </c>
      <c r="D12" s="54">
        <v>260</v>
      </c>
      <c r="E12" s="54">
        <v>255</v>
      </c>
      <c r="F12" s="54">
        <v>229</v>
      </c>
      <c r="G12" s="21">
        <v>243</v>
      </c>
      <c r="H12" s="54">
        <f>I12+J12+K12+L12+M12</f>
        <v>226</v>
      </c>
      <c r="I12" s="54">
        <v>20</v>
      </c>
      <c r="J12" s="54">
        <v>41</v>
      </c>
      <c r="K12" s="54">
        <v>26</v>
      </c>
      <c r="L12" s="54">
        <v>28</v>
      </c>
      <c r="M12" s="54">
        <v>111</v>
      </c>
    </row>
    <row r="13" spans="1:14" ht="12.75" customHeight="1" x14ac:dyDescent="0.2">
      <c r="A13" s="53" t="s">
        <v>24</v>
      </c>
      <c r="B13" s="54">
        <f>C13+H13</f>
        <v>1613</v>
      </c>
      <c r="C13" s="54">
        <f>SUM(D13:G13)</f>
        <v>1243</v>
      </c>
      <c r="D13" s="21">
        <v>323</v>
      </c>
      <c r="E13" s="21">
        <v>306</v>
      </c>
      <c r="F13" s="21">
        <v>308</v>
      </c>
      <c r="G13" s="21">
        <v>306</v>
      </c>
      <c r="H13" s="54">
        <f>I13+J13+K13+L13+M13</f>
        <v>370</v>
      </c>
      <c r="I13" s="21">
        <v>44</v>
      </c>
      <c r="J13" s="21">
        <v>46</v>
      </c>
      <c r="K13" s="21">
        <v>58</v>
      </c>
      <c r="L13" s="21">
        <v>68</v>
      </c>
      <c r="M13" s="21">
        <v>154</v>
      </c>
      <c r="N13" s="54"/>
    </row>
    <row r="14" spans="1:14" ht="12.75" customHeight="1" x14ac:dyDescent="0.2">
      <c r="A14" s="53" t="s">
        <v>25</v>
      </c>
      <c r="B14" s="54">
        <f>C14+H14</f>
        <v>1183</v>
      </c>
      <c r="C14" s="54">
        <f>SUM(D14:G14)</f>
        <v>969</v>
      </c>
      <c r="D14" s="21">
        <f>219+62</f>
        <v>281</v>
      </c>
      <c r="E14" s="21">
        <f>196+37</f>
        <v>233</v>
      </c>
      <c r="F14" s="21">
        <f>189+41</f>
        <v>230</v>
      </c>
      <c r="G14" s="21">
        <f>186+39</f>
        <v>225</v>
      </c>
      <c r="H14" s="54">
        <f>I14+J14+K14+L14+M14</f>
        <v>214</v>
      </c>
      <c r="I14" s="21">
        <v>0</v>
      </c>
      <c r="J14" s="21">
        <v>34</v>
      </c>
      <c r="K14" s="21">
        <v>28</v>
      </c>
      <c r="L14" s="21">
        <v>47</v>
      </c>
      <c r="M14" s="21">
        <v>105</v>
      </c>
    </row>
    <row r="15" spans="1:14" ht="12.75" customHeight="1" x14ac:dyDescent="0.2">
      <c r="A15" s="53" t="s">
        <v>26</v>
      </c>
      <c r="B15" s="54">
        <f>C15+H15</f>
        <v>961</v>
      </c>
      <c r="C15" s="54">
        <f>SUM(D15:G15)</f>
        <v>821</v>
      </c>
      <c r="D15" s="21">
        <v>211</v>
      </c>
      <c r="E15" s="21">
        <v>214</v>
      </c>
      <c r="F15" s="21">
        <v>208</v>
      </c>
      <c r="G15" s="21">
        <v>188</v>
      </c>
      <c r="H15" s="54">
        <f>I15+J15+K15+L15+M15</f>
        <v>140</v>
      </c>
      <c r="I15" s="21">
        <v>0</v>
      </c>
      <c r="J15" s="21">
        <v>24</v>
      </c>
      <c r="K15" s="21">
        <v>18</v>
      </c>
      <c r="L15" s="21">
        <v>34</v>
      </c>
      <c r="M15" s="21">
        <v>64</v>
      </c>
    </row>
    <row r="16" spans="1:14" s="58" customFormat="1" ht="17.100000000000001" customHeight="1" x14ac:dyDescent="0.2">
      <c r="A16" s="73" t="s">
        <v>27</v>
      </c>
      <c r="B16" s="74">
        <f t="shared" ref="B16:H16" si="0">SUM(B11:B15)</f>
        <v>5151</v>
      </c>
      <c r="C16" s="74">
        <f t="shared" si="0"/>
        <v>4201</v>
      </c>
      <c r="D16" s="74">
        <f t="shared" si="0"/>
        <v>1127</v>
      </c>
      <c r="E16" s="74">
        <f t="shared" si="0"/>
        <v>1050</v>
      </c>
      <c r="F16" s="74">
        <f t="shared" si="0"/>
        <v>1017</v>
      </c>
      <c r="G16" s="74">
        <f t="shared" si="0"/>
        <v>1007</v>
      </c>
      <c r="H16" s="74">
        <f t="shared" si="0"/>
        <v>950</v>
      </c>
      <c r="I16" s="74">
        <f>SUM(I11:I15)</f>
        <v>64</v>
      </c>
      <c r="J16" s="74">
        <f>SUM(J11:J15)</f>
        <v>145</v>
      </c>
      <c r="K16" s="74">
        <f>SUM(K11:K15)</f>
        <v>130</v>
      </c>
      <c r="L16" s="74">
        <f>SUM(L11:L15)</f>
        <v>177</v>
      </c>
      <c r="M16" s="74">
        <f>SUM(M11:M15)</f>
        <v>434</v>
      </c>
    </row>
    <row r="17" spans="1:14" ht="12.75" customHeight="1" x14ac:dyDescent="0.2">
      <c r="A17" s="53" t="s">
        <v>28</v>
      </c>
      <c r="B17" s="54">
        <f t="shared" ref="B17:B34" si="1">C17+H17</f>
        <v>2818</v>
      </c>
      <c r="C17" s="54">
        <f t="shared" ref="C17:C34" si="2">SUM(D17:G17)</f>
        <v>2372</v>
      </c>
      <c r="D17" s="54">
        <f>602-43+38</f>
        <v>597</v>
      </c>
      <c r="E17" s="54">
        <f>610-57+37</f>
        <v>590</v>
      </c>
      <c r="F17" s="54">
        <f>640-46+35</f>
        <v>629</v>
      </c>
      <c r="G17" s="21">
        <f>575-63+44</f>
        <v>556</v>
      </c>
      <c r="H17" s="54">
        <f>SUM(I17:M17)</f>
        <v>446</v>
      </c>
      <c r="I17" s="54">
        <v>32</v>
      </c>
      <c r="J17" s="54">
        <v>38</v>
      </c>
      <c r="K17" s="54">
        <v>83</v>
      </c>
      <c r="L17" s="54">
        <v>84</v>
      </c>
      <c r="M17" s="54">
        <v>209</v>
      </c>
    </row>
    <row r="18" spans="1:14" ht="12.75" customHeight="1" x14ac:dyDescent="0.2">
      <c r="A18" s="53" t="s">
        <v>29</v>
      </c>
      <c r="B18" s="54">
        <f t="shared" si="1"/>
        <v>258</v>
      </c>
      <c r="C18" s="54">
        <f t="shared" si="2"/>
        <v>258</v>
      </c>
      <c r="D18" s="54">
        <v>67</v>
      </c>
      <c r="E18" s="54">
        <v>68</v>
      </c>
      <c r="F18" s="54">
        <v>63</v>
      </c>
      <c r="G18" s="21">
        <v>60</v>
      </c>
      <c r="H18" s="54">
        <f>SUM(I18:M18)</f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</row>
    <row r="19" spans="1:14" ht="12.75" customHeight="1" x14ac:dyDescent="0.2">
      <c r="A19" s="53" t="s">
        <v>30</v>
      </c>
      <c r="B19" s="54">
        <f t="shared" si="1"/>
        <v>395</v>
      </c>
      <c r="C19" s="54">
        <f t="shared" si="2"/>
        <v>395</v>
      </c>
      <c r="D19" s="54">
        <v>96</v>
      </c>
      <c r="E19" s="54">
        <v>98</v>
      </c>
      <c r="F19" s="54">
        <v>104</v>
      </c>
      <c r="G19" s="21">
        <v>97</v>
      </c>
      <c r="H19" s="54">
        <f>SUM(I19:M19)</f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</row>
    <row r="20" spans="1:14" ht="12.75" customHeight="1" x14ac:dyDescent="0.2">
      <c r="A20" s="53" t="s">
        <v>31</v>
      </c>
      <c r="B20" s="54">
        <f t="shared" si="1"/>
        <v>566</v>
      </c>
      <c r="C20" s="54">
        <f t="shared" si="2"/>
        <v>566</v>
      </c>
      <c r="D20" s="54">
        <v>136</v>
      </c>
      <c r="E20" s="54">
        <v>146</v>
      </c>
      <c r="F20" s="54">
        <v>144</v>
      </c>
      <c r="G20" s="21">
        <v>140</v>
      </c>
      <c r="H20" s="54">
        <f t="shared" ref="H20:H34" si="3">SUM(I20:M20)</f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</row>
    <row r="21" spans="1:14" ht="12.75" customHeight="1" x14ac:dyDescent="0.2">
      <c r="A21" s="53" t="s">
        <v>32</v>
      </c>
      <c r="B21" s="54">
        <f t="shared" si="1"/>
        <v>1110</v>
      </c>
      <c r="C21" s="54">
        <f t="shared" si="2"/>
        <v>851</v>
      </c>
      <c r="D21" s="54">
        <v>215</v>
      </c>
      <c r="E21" s="54">
        <v>208</v>
      </c>
      <c r="F21" s="54">
        <v>235</v>
      </c>
      <c r="G21" s="21">
        <v>193</v>
      </c>
      <c r="H21" s="54">
        <f t="shared" si="3"/>
        <v>259</v>
      </c>
      <c r="I21" s="54">
        <v>31</v>
      </c>
      <c r="J21" s="54">
        <v>38</v>
      </c>
      <c r="K21" s="54">
        <v>45</v>
      </c>
      <c r="L21" s="54">
        <v>49</v>
      </c>
      <c r="M21" s="54">
        <v>96</v>
      </c>
      <c r="N21" s="54"/>
    </row>
    <row r="22" spans="1:14" ht="12.75" customHeight="1" x14ac:dyDescent="0.2">
      <c r="A22" s="53" t="s">
        <v>33</v>
      </c>
      <c r="B22" s="54">
        <f t="shared" si="1"/>
        <v>421</v>
      </c>
      <c r="C22" s="54">
        <f t="shared" si="2"/>
        <v>325</v>
      </c>
      <c r="D22" s="54">
        <f>61+34</f>
        <v>95</v>
      </c>
      <c r="E22" s="54">
        <f>41+42</f>
        <v>83</v>
      </c>
      <c r="F22" s="54">
        <f>41+36</f>
        <v>77</v>
      </c>
      <c r="G22" s="21">
        <f>40+30</f>
        <v>70</v>
      </c>
      <c r="H22" s="54">
        <f t="shared" si="3"/>
        <v>96</v>
      </c>
      <c r="I22" s="54">
        <v>0</v>
      </c>
      <c r="J22" s="54">
        <v>0</v>
      </c>
      <c r="K22" s="54">
        <v>0</v>
      </c>
      <c r="L22" s="54">
        <v>32</v>
      </c>
      <c r="M22" s="54">
        <f>19+45</f>
        <v>64</v>
      </c>
      <c r="N22" s="54"/>
    </row>
    <row r="23" spans="1:14" ht="12.75" customHeight="1" x14ac:dyDescent="0.2">
      <c r="A23" s="53" t="s">
        <v>34</v>
      </c>
      <c r="B23" s="54">
        <f t="shared" si="1"/>
        <v>794</v>
      </c>
      <c r="C23" s="54">
        <f t="shared" si="2"/>
        <v>718</v>
      </c>
      <c r="D23" s="54">
        <v>181</v>
      </c>
      <c r="E23" s="54">
        <v>180</v>
      </c>
      <c r="F23" s="54">
        <v>196</v>
      </c>
      <c r="G23" s="21">
        <v>161</v>
      </c>
      <c r="H23" s="54">
        <f t="shared" si="3"/>
        <v>76</v>
      </c>
      <c r="I23" s="54">
        <v>0</v>
      </c>
      <c r="J23" s="54">
        <v>0</v>
      </c>
      <c r="K23" s="54">
        <v>0</v>
      </c>
      <c r="L23" s="54">
        <v>25</v>
      </c>
      <c r="M23" s="54">
        <f>28+23</f>
        <v>51</v>
      </c>
    </row>
    <row r="24" spans="1:14" ht="12.75" customHeight="1" x14ac:dyDescent="0.2">
      <c r="A24" s="53" t="s">
        <v>35</v>
      </c>
      <c r="B24" s="54">
        <f t="shared" si="1"/>
        <v>1015</v>
      </c>
      <c r="C24" s="54">
        <f t="shared" si="2"/>
        <v>773</v>
      </c>
      <c r="D24" s="54">
        <f>111+(127-38)</f>
        <v>200</v>
      </c>
      <c r="E24" s="54">
        <f>92+(113-37)</f>
        <v>168</v>
      </c>
      <c r="F24" s="54">
        <f>109+(141-35)</f>
        <v>215</v>
      </c>
      <c r="G24" s="21">
        <f>107+(127-44)</f>
        <v>190</v>
      </c>
      <c r="H24" s="54">
        <f t="shared" si="3"/>
        <v>242</v>
      </c>
      <c r="I24" s="54">
        <v>0</v>
      </c>
      <c r="J24" s="54">
        <f>21+16</f>
        <v>37</v>
      </c>
      <c r="K24" s="54">
        <f>21+23</f>
        <v>44</v>
      </c>
      <c r="L24" s="54">
        <f>37+24</f>
        <v>61</v>
      </c>
      <c r="M24" s="54">
        <f>21+23+40+16</f>
        <v>100</v>
      </c>
    </row>
    <row r="25" spans="1:14" ht="12.75" customHeight="1" x14ac:dyDescent="0.2">
      <c r="A25" s="53" t="s">
        <v>36</v>
      </c>
      <c r="B25" s="54">
        <f t="shared" si="1"/>
        <v>287</v>
      </c>
      <c r="C25" s="54">
        <f t="shared" si="2"/>
        <v>209</v>
      </c>
      <c r="D25" s="54">
        <v>43</v>
      </c>
      <c r="E25" s="54">
        <v>57</v>
      </c>
      <c r="F25" s="54">
        <v>46</v>
      </c>
      <c r="G25" s="21">
        <v>63</v>
      </c>
      <c r="H25" s="54">
        <f t="shared" si="3"/>
        <v>78</v>
      </c>
      <c r="I25" s="54">
        <v>0</v>
      </c>
      <c r="J25" s="54">
        <v>0</v>
      </c>
      <c r="K25" s="54">
        <v>0</v>
      </c>
      <c r="L25" s="54">
        <v>25</v>
      </c>
      <c r="M25" s="54">
        <f>39+14</f>
        <v>53</v>
      </c>
    </row>
    <row r="26" spans="1:14" ht="12.75" customHeight="1" x14ac:dyDescent="0.2">
      <c r="A26" s="53" t="s">
        <v>37</v>
      </c>
      <c r="B26" s="54">
        <f t="shared" si="1"/>
        <v>308</v>
      </c>
      <c r="C26" s="54">
        <f t="shared" si="2"/>
        <v>308</v>
      </c>
      <c r="D26" s="54">
        <f>46+40</f>
        <v>86</v>
      </c>
      <c r="E26" s="54">
        <f>44+35</f>
        <v>79</v>
      </c>
      <c r="F26" s="54">
        <f>32+36</f>
        <v>68</v>
      </c>
      <c r="G26" s="21">
        <f>45+30</f>
        <v>75</v>
      </c>
      <c r="H26" s="54">
        <f t="shared" si="3"/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</row>
    <row r="27" spans="1:14" ht="12.75" customHeight="1" x14ac:dyDescent="0.2">
      <c r="A27" s="53" t="s">
        <v>38</v>
      </c>
      <c r="B27" s="54">
        <f t="shared" si="1"/>
        <v>409</v>
      </c>
      <c r="C27" s="54">
        <f t="shared" si="2"/>
        <v>325</v>
      </c>
      <c r="D27" s="54">
        <v>86</v>
      </c>
      <c r="E27" s="54">
        <v>72</v>
      </c>
      <c r="F27" s="54">
        <v>66</v>
      </c>
      <c r="G27" s="21">
        <v>101</v>
      </c>
      <c r="H27" s="54">
        <f t="shared" si="3"/>
        <v>84</v>
      </c>
      <c r="I27" s="54">
        <v>0</v>
      </c>
      <c r="J27" s="54">
        <v>0</v>
      </c>
      <c r="K27" s="54">
        <v>20</v>
      </c>
      <c r="L27" s="54">
        <v>20</v>
      </c>
      <c r="M27" s="54">
        <f>21+23</f>
        <v>44</v>
      </c>
    </row>
    <row r="28" spans="1:14" ht="12.75" customHeight="1" x14ac:dyDescent="0.2">
      <c r="A28" s="53" t="s">
        <v>39</v>
      </c>
      <c r="B28" s="54">
        <f t="shared" si="1"/>
        <v>1023</v>
      </c>
      <c r="C28" s="54">
        <f t="shared" si="2"/>
        <v>994</v>
      </c>
      <c r="D28" s="54">
        <v>241</v>
      </c>
      <c r="E28" s="54">
        <v>262</v>
      </c>
      <c r="F28" s="54">
        <v>261</v>
      </c>
      <c r="G28" s="21">
        <v>230</v>
      </c>
      <c r="H28" s="54">
        <f t="shared" si="3"/>
        <v>29</v>
      </c>
      <c r="I28" s="54">
        <v>0</v>
      </c>
      <c r="J28" s="54">
        <v>0</v>
      </c>
      <c r="K28" s="54">
        <v>6</v>
      </c>
      <c r="L28" s="54">
        <v>6</v>
      </c>
      <c r="M28" s="54">
        <f>17+0</f>
        <v>17</v>
      </c>
    </row>
    <row r="29" spans="1:14" ht="12.75" customHeight="1" x14ac:dyDescent="0.2">
      <c r="A29" s="53" t="s">
        <v>40</v>
      </c>
      <c r="B29" s="54">
        <f t="shared" si="1"/>
        <v>366</v>
      </c>
      <c r="C29" s="54">
        <f t="shared" si="2"/>
        <v>349</v>
      </c>
      <c r="D29" s="54">
        <v>86</v>
      </c>
      <c r="E29" s="54">
        <v>93</v>
      </c>
      <c r="F29" s="54">
        <v>85</v>
      </c>
      <c r="G29" s="21">
        <v>85</v>
      </c>
      <c r="H29" s="54">
        <f t="shared" si="3"/>
        <v>17</v>
      </c>
      <c r="I29" s="54">
        <v>0</v>
      </c>
      <c r="J29" s="54">
        <v>0</v>
      </c>
      <c r="K29" s="54">
        <v>0</v>
      </c>
      <c r="L29" s="54">
        <v>0</v>
      </c>
      <c r="M29" s="54">
        <f>17+0</f>
        <v>17</v>
      </c>
    </row>
    <row r="30" spans="1:14" ht="12.75" customHeight="1" x14ac:dyDescent="0.2">
      <c r="A30" s="53" t="s">
        <v>41</v>
      </c>
      <c r="B30" s="54">
        <f t="shared" si="1"/>
        <v>524</v>
      </c>
      <c r="C30" s="54">
        <f t="shared" si="2"/>
        <v>504</v>
      </c>
      <c r="D30" s="54">
        <f>68+54</f>
        <v>122</v>
      </c>
      <c r="E30" s="54">
        <f>72+58</f>
        <v>130</v>
      </c>
      <c r="F30" s="54">
        <f>58+67</f>
        <v>125</v>
      </c>
      <c r="G30" s="21">
        <f>62+65</f>
        <v>127</v>
      </c>
      <c r="H30" s="54">
        <f t="shared" si="3"/>
        <v>20</v>
      </c>
      <c r="I30" s="54">
        <v>0</v>
      </c>
      <c r="J30" s="54">
        <v>0</v>
      </c>
      <c r="K30" s="54">
        <v>0</v>
      </c>
      <c r="L30" s="54">
        <v>0</v>
      </c>
      <c r="M30" s="54">
        <f>20+0</f>
        <v>20</v>
      </c>
    </row>
    <row r="31" spans="1:14" ht="12.75" customHeight="1" x14ac:dyDescent="0.2">
      <c r="A31" s="53" t="s">
        <v>42</v>
      </c>
      <c r="B31" s="54">
        <f t="shared" si="1"/>
        <v>1530</v>
      </c>
      <c r="C31" s="54">
        <f t="shared" si="2"/>
        <v>1304</v>
      </c>
      <c r="D31" s="54">
        <f>364-62</f>
        <v>302</v>
      </c>
      <c r="E31" s="54">
        <f>388-37</f>
        <v>351</v>
      </c>
      <c r="F31" s="54">
        <f>364-41</f>
        <v>323</v>
      </c>
      <c r="G31" s="21">
        <f>367-39</f>
        <v>328</v>
      </c>
      <c r="H31" s="54">
        <f t="shared" si="3"/>
        <v>226</v>
      </c>
      <c r="I31" s="54">
        <v>31</v>
      </c>
      <c r="J31" s="54">
        <v>27</v>
      </c>
      <c r="K31" s="54">
        <v>25</v>
      </c>
      <c r="L31" s="54">
        <v>37</v>
      </c>
      <c r="M31" s="54">
        <f>59+47</f>
        <v>106</v>
      </c>
      <c r="N31" s="54"/>
    </row>
    <row r="32" spans="1:14" ht="12.75" customHeight="1" x14ac:dyDescent="0.2">
      <c r="A32" s="53" t="s">
        <v>43</v>
      </c>
      <c r="B32" s="54">
        <f t="shared" si="1"/>
        <v>434</v>
      </c>
      <c r="C32" s="54">
        <f t="shared" si="2"/>
        <v>274</v>
      </c>
      <c r="D32" s="54">
        <v>75</v>
      </c>
      <c r="E32" s="54">
        <v>71</v>
      </c>
      <c r="F32" s="54">
        <v>68</v>
      </c>
      <c r="G32" s="21">
        <v>60</v>
      </c>
      <c r="H32" s="54">
        <f t="shared" si="3"/>
        <v>160</v>
      </c>
      <c r="I32" s="54">
        <v>32</v>
      </c>
      <c r="J32" s="54">
        <v>23</v>
      </c>
      <c r="K32" s="54">
        <v>36</v>
      </c>
      <c r="L32" s="54">
        <v>21</v>
      </c>
      <c r="M32" s="54">
        <f>21+27</f>
        <v>48</v>
      </c>
    </row>
    <row r="33" spans="1:13" ht="12.75" customHeight="1" x14ac:dyDescent="0.2">
      <c r="A33" s="53" t="s">
        <v>44</v>
      </c>
      <c r="B33" s="54">
        <f t="shared" si="1"/>
        <v>1398</v>
      </c>
      <c r="C33" s="54">
        <f t="shared" si="2"/>
        <v>1201</v>
      </c>
      <c r="D33" s="54">
        <v>314</v>
      </c>
      <c r="E33" s="54">
        <v>316</v>
      </c>
      <c r="F33" s="54">
        <v>284</v>
      </c>
      <c r="G33" s="21">
        <v>287</v>
      </c>
      <c r="H33" s="54">
        <f t="shared" si="3"/>
        <v>197</v>
      </c>
      <c r="I33" s="54">
        <v>21</v>
      </c>
      <c r="J33" s="54">
        <v>23</v>
      </c>
      <c r="K33" s="54">
        <v>24</v>
      </c>
      <c r="L33" s="54">
        <v>38</v>
      </c>
      <c r="M33" s="54">
        <f>57+34</f>
        <v>91</v>
      </c>
    </row>
    <row r="34" spans="1:13" ht="12.75" customHeight="1" x14ac:dyDescent="0.2">
      <c r="A34" s="53" t="s">
        <v>45</v>
      </c>
      <c r="B34" s="54">
        <f t="shared" si="1"/>
        <v>1720</v>
      </c>
      <c r="C34" s="54">
        <f t="shared" si="2"/>
        <v>1369</v>
      </c>
      <c r="D34" s="54">
        <v>328</v>
      </c>
      <c r="E34" s="54">
        <v>329</v>
      </c>
      <c r="F34" s="54">
        <v>357</v>
      </c>
      <c r="G34" s="21">
        <v>355</v>
      </c>
      <c r="H34" s="54">
        <f t="shared" si="3"/>
        <v>351</v>
      </c>
      <c r="I34" s="54">
        <v>45</v>
      </c>
      <c r="J34" s="54">
        <v>52</v>
      </c>
      <c r="K34" s="54">
        <v>45</v>
      </c>
      <c r="L34" s="54">
        <v>56</v>
      </c>
      <c r="M34" s="54">
        <f>89+64</f>
        <v>153</v>
      </c>
    </row>
    <row r="35" spans="1:13" s="58" customFormat="1" ht="17.100000000000001" customHeight="1" x14ac:dyDescent="0.2">
      <c r="A35" s="73" t="s">
        <v>46</v>
      </c>
      <c r="B35" s="74">
        <f t="shared" ref="B35:M35" si="4">SUM(B17:B34)</f>
        <v>15376</v>
      </c>
      <c r="C35" s="74">
        <f t="shared" si="4"/>
        <v>13095</v>
      </c>
      <c r="D35" s="74">
        <f t="shared" si="4"/>
        <v>3270</v>
      </c>
      <c r="E35" s="74">
        <f t="shared" si="4"/>
        <v>3301</v>
      </c>
      <c r="F35" s="74">
        <f t="shared" si="4"/>
        <v>3346</v>
      </c>
      <c r="G35" s="74">
        <f t="shared" si="4"/>
        <v>3178</v>
      </c>
      <c r="H35" s="74">
        <f t="shared" si="4"/>
        <v>2281</v>
      </c>
      <c r="I35" s="74">
        <f t="shared" si="4"/>
        <v>192</v>
      </c>
      <c r="J35" s="74">
        <f t="shared" si="4"/>
        <v>238</v>
      </c>
      <c r="K35" s="74">
        <f t="shared" si="4"/>
        <v>328</v>
      </c>
      <c r="L35" s="74">
        <f t="shared" si="4"/>
        <v>454</v>
      </c>
      <c r="M35" s="74">
        <f t="shared" si="4"/>
        <v>1069</v>
      </c>
    </row>
    <row r="36" spans="1:13" ht="17.100000000000001" customHeight="1" x14ac:dyDescent="0.2">
      <c r="A36" s="55" t="s">
        <v>47</v>
      </c>
      <c r="B36" s="56">
        <f t="shared" ref="B36:M36" si="5">+B16+B35</f>
        <v>20527</v>
      </c>
      <c r="C36" s="56">
        <f t="shared" si="5"/>
        <v>17296</v>
      </c>
      <c r="D36" s="56">
        <f t="shared" si="5"/>
        <v>4397</v>
      </c>
      <c r="E36" s="56">
        <f t="shared" si="5"/>
        <v>4351</v>
      </c>
      <c r="F36" s="56">
        <f t="shared" si="5"/>
        <v>4363</v>
      </c>
      <c r="G36" s="56">
        <f t="shared" si="5"/>
        <v>4185</v>
      </c>
      <c r="H36" s="56">
        <f t="shared" si="5"/>
        <v>3231</v>
      </c>
      <c r="I36" s="56">
        <f t="shared" si="5"/>
        <v>256</v>
      </c>
      <c r="J36" s="56">
        <f t="shared" si="5"/>
        <v>383</v>
      </c>
      <c r="K36" s="56">
        <f t="shared" si="5"/>
        <v>458</v>
      </c>
      <c r="L36" s="56">
        <f t="shared" si="5"/>
        <v>631</v>
      </c>
      <c r="M36" s="56">
        <f t="shared" si="5"/>
        <v>1503</v>
      </c>
    </row>
    <row r="37" spans="1:13" s="66" customFormat="1" ht="12.75" customHeight="1" x14ac:dyDescent="0.25">
      <c r="A37" s="64" t="s">
        <v>75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3" ht="12.75" customHeight="1" x14ac:dyDescent="0.2">
      <c r="A38" s="59" t="s">
        <v>96</v>
      </c>
      <c r="B38" s="58"/>
      <c r="C38" s="58"/>
      <c r="D38" s="58"/>
    </row>
    <row r="39" spans="1:13" ht="6" customHeight="1" x14ac:dyDescent="0.2">
      <c r="A39" s="58"/>
      <c r="B39" s="58"/>
      <c r="C39" s="58"/>
      <c r="D39" s="58"/>
    </row>
    <row r="40" spans="1:13" ht="12.75" customHeight="1" x14ac:dyDescent="0.2">
      <c r="A40" s="60" t="s">
        <v>78</v>
      </c>
      <c r="B40" s="58"/>
      <c r="C40" s="58"/>
      <c r="D40" s="58"/>
    </row>
    <row r="62" spans="1:1" ht="10.199999999999999" x14ac:dyDescent="0.2">
      <c r="A62" s="45"/>
    </row>
    <row r="63" spans="1:1" ht="10.199999999999999" x14ac:dyDescent="0.2"/>
  </sheetData>
  <mergeCells count="6">
    <mergeCell ref="I6:M8"/>
    <mergeCell ref="A5:A9"/>
    <mergeCell ref="B5:B9"/>
    <mergeCell ref="C6:C9"/>
    <mergeCell ref="D6:G8"/>
    <mergeCell ref="H6:H9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Normal="100" workbookViewId="0">
      <selection activeCell="A3" sqref="A3"/>
    </sheetView>
  </sheetViews>
  <sheetFormatPr baseColWidth="10" defaultColWidth="8.42578125" defaultRowHeight="12.75" customHeight="1" x14ac:dyDescent="0.2"/>
  <cols>
    <col min="1" max="1" width="21.7109375" style="20" customWidth="1"/>
    <col min="2" max="2" width="9.140625" style="20" customWidth="1"/>
    <col min="3" max="3" width="8" style="20" customWidth="1"/>
    <col min="4" max="7" width="7.7109375" style="20" customWidth="1"/>
    <col min="8" max="8" width="9.140625" style="20" customWidth="1"/>
    <col min="9" max="13" width="7.7109375" style="20" customWidth="1"/>
    <col min="14" max="14" width="6.7109375" style="20" customWidth="1"/>
    <col min="15" max="15" width="7.7109375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26.7" customHeight="1" x14ac:dyDescent="0.25">
      <c r="A3" s="68" t="s">
        <v>100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14.7" customHeight="1" thickBot="1" x14ac:dyDescent="0.25">
      <c r="A5" s="80" t="s">
        <v>8</v>
      </c>
      <c r="B5" s="81" t="s">
        <v>90</v>
      </c>
      <c r="C5" s="47" t="s">
        <v>4</v>
      </c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4" ht="14.7" customHeight="1" thickBot="1" x14ac:dyDescent="0.25">
      <c r="A6" s="77"/>
      <c r="B6" s="77"/>
      <c r="C6" s="82" t="s">
        <v>85</v>
      </c>
      <c r="D6" s="77" t="s">
        <v>77</v>
      </c>
      <c r="E6" s="78"/>
      <c r="F6" s="78"/>
      <c r="G6" s="78"/>
      <c r="H6" s="82" t="s">
        <v>89</v>
      </c>
      <c r="I6" s="77" t="s">
        <v>77</v>
      </c>
      <c r="J6" s="78"/>
      <c r="K6" s="78"/>
      <c r="L6" s="78"/>
      <c r="M6" s="79"/>
    </row>
    <row r="7" spans="1:14" ht="14.7" customHeight="1" thickBot="1" x14ac:dyDescent="0.25">
      <c r="A7" s="77"/>
      <c r="B7" s="77"/>
      <c r="C7" s="77"/>
      <c r="D7" s="78"/>
      <c r="E7" s="78"/>
      <c r="F7" s="78"/>
      <c r="G7" s="78"/>
      <c r="H7" s="77"/>
      <c r="I7" s="78"/>
      <c r="J7" s="78"/>
      <c r="K7" s="78"/>
      <c r="L7" s="78"/>
      <c r="M7" s="79"/>
    </row>
    <row r="8" spans="1:14" ht="14.7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4.7" customHeight="1" thickBot="1" x14ac:dyDescent="0.25">
      <c r="A9" s="77"/>
      <c r="B9" s="77"/>
      <c r="C9" s="77"/>
      <c r="D9" s="61">
        <v>1</v>
      </c>
      <c r="E9" s="61">
        <v>2</v>
      </c>
      <c r="F9" s="61">
        <v>3</v>
      </c>
      <c r="G9" s="62">
        <v>4</v>
      </c>
      <c r="H9" s="77"/>
      <c r="I9" s="61">
        <v>5</v>
      </c>
      <c r="J9" s="61">
        <v>6</v>
      </c>
      <c r="K9" s="61">
        <v>7</v>
      </c>
      <c r="L9" s="61">
        <v>8</v>
      </c>
      <c r="M9" s="51" t="s">
        <v>21</v>
      </c>
    </row>
    <row r="10" spans="1:14" ht="12.75" customHeight="1" x14ac:dyDescent="0.2">
      <c r="A10" s="5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 t="s">
        <v>76</v>
      </c>
    </row>
    <row r="11" spans="1:14" ht="12.75" customHeight="1" x14ac:dyDescent="0.2">
      <c r="A11" s="53" t="s">
        <v>22</v>
      </c>
      <c r="B11" s="54">
        <f>C11+H11</f>
        <v>165</v>
      </c>
      <c r="C11" s="54">
        <f>SUM(D11:G11)</f>
        <v>165</v>
      </c>
      <c r="D11" s="54">
        <v>41</v>
      </c>
      <c r="E11" s="54">
        <v>35</v>
      </c>
      <c r="F11" s="54">
        <v>47</v>
      </c>
      <c r="G11" s="21">
        <v>42</v>
      </c>
      <c r="H11" s="54">
        <f>I11+J11+K11+L11+M11</f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</row>
    <row r="12" spans="1:14" ht="12.75" customHeight="1" x14ac:dyDescent="0.2">
      <c r="A12" s="53" t="s">
        <v>23</v>
      </c>
      <c r="B12" s="54">
        <f>C12+H12</f>
        <v>1165</v>
      </c>
      <c r="C12" s="54">
        <f>SUM(D12:G12)</f>
        <v>983</v>
      </c>
      <c r="D12" s="54">
        <v>240</v>
      </c>
      <c r="E12" s="54">
        <v>238</v>
      </c>
      <c r="F12" s="54">
        <v>241</v>
      </c>
      <c r="G12" s="21">
        <v>264</v>
      </c>
      <c r="H12" s="54">
        <f>I12+J12+K12+L12+M12</f>
        <v>182</v>
      </c>
      <c r="I12" s="54">
        <v>21</v>
      </c>
      <c r="J12" s="54">
        <v>23</v>
      </c>
      <c r="K12" s="54">
        <v>23</v>
      </c>
      <c r="L12" s="54">
        <v>23</v>
      </c>
      <c r="M12" s="54">
        <v>92</v>
      </c>
    </row>
    <row r="13" spans="1:14" ht="12.75" customHeight="1" x14ac:dyDescent="0.2">
      <c r="A13" s="53" t="s">
        <v>24</v>
      </c>
      <c r="B13" s="54">
        <f>C13+H13</f>
        <v>1617</v>
      </c>
      <c r="C13" s="54">
        <f>SUM(D13:G13)</f>
        <v>1219</v>
      </c>
      <c r="D13" s="21">
        <v>300</v>
      </c>
      <c r="E13" s="21">
        <v>309</v>
      </c>
      <c r="F13" s="21">
        <v>302</v>
      </c>
      <c r="G13" s="21">
        <v>308</v>
      </c>
      <c r="H13" s="54">
        <f>I13+J13+K13+L13+M13</f>
        <v>398</v>
      </c>
      <c r="I13" s="21">
        <v>34</v>
      </c>
      <c r="J13" s="21">
        <v>51</v>
      </c>
      <c r="K13" s="21">
        <v>63</v>
      </c>
      <c r="L13" s="21">
        <v>85</v>
      </c>
      <c r="M13" s="21">
        <f>105+60</f>
        <v>165</v>
      </c>
      <c r="N13" s="54"/>
    </row>
    <row r="14" spans="1:14" ht="12.75" customHeight="1" x14ac:dyDescent="0.2">
      <c r="A14" s="53" t="s">
        <v>25</v>
      </c>
      <c r="B14" s="54">
        <f>C14+H14</f>
        <v>1140</v>
      </c>
      <c r="C14" s="54">
        <f>SUM(D14:G14)</f>
        <v>896</v>
      </c>
      <c r="D14" s="21">
        <f>200+34</f>
        <v>234</v>
      </c>
      <c r="E14" s="21">
        <f>189+41</f>
        <v>230</v>
      </c>
      <c r="F14" s="21">
        <f>171+42</f>
        <v>213</v>
      </c>
      <c r="G14" s="21">
        <f>176+43</f>
        <v>219</v>
      </c>
      <c r="H14" s="54">
        <f>I14+J14+K14+L14+M14</f>
        <v>244</v>
      </c>
      <c r="I14" s="21">
        <v>22</v>
      </c>
      <c r="J14" s="21">
        <v>22</v>
      </c>
      <c r="K14" s="21">
        <v>42</v>
      </c>
      <c r="L14" s="21">
        <v>63</v>
      </c>
      <c r="M14" s="21">
        <f>53+42</f>
        <v>95</v>
      </c>
    </row>
    <row r="15" spans="1:14" ht="12.75" customHeight="1" x14ac:dyDescent="0.2">
      <c r="A15" s="53" t="s">
        <v>26</v>
      </c>
      <c r="B15" s="54">
        <f>C15+H15</f>
        <v>955</v>
      </c>
      <c r="C15" s="54">
        <f>SUM(D15:G15)</f>
        <v>763</v>
      </c>
      <c r="D15" s="21">
        <v>203</v>
      </c>
      <c r="E15" s="21">
        <v>196</v>
      </c>
      <c r="F15" s="21">
        <v>183</v>
      </c>
      <c r="G15" s="21">
        <v>181</v>
      </c>
      <c r="H15" s="54">
        <f>I15+J15+K15+L15+M15</f>
        <v>192</v>
      </c>
      <c r="I15" s="21">
        <v>16</v>
      </c>
      <c r="J15" s="21">
        <v>22</v>
      </c>
      <c r="K15" s="21">
        <v>18</v>
      </c>
      <c r="L15" s="21">
        <v>38</v>
      </c>
      <c r="M15" s="21">
        <v>98</v>
      </c>
    </row>
    <row r="16" spans="1:14" s="58" customFormat="1" ht="17.100000000000001" customHeight="1" x14ac:dyDescent="0.2">
      <c r="A16" s="73" t="s">
        <v>27</v>
      </c>
      <c r="B16" s="74">
        <f t="shared" ref="B16:H16" si="0">SUM(B11:B15)</f>
        <v>5042</v>
      </c>
      <c r="C16" s="74">
        <f t="shared" si="0"/>
        <v>4026</v>
      </c>
      <c r="D16" s="74">
        <f t="shared" si="0"/>
        <v>1018</v>
      </c>
      <c r="E16" s="74">
        <f t="shared" si="0"/>
        <v>1008</v>
      </c>
      <c r="F16" s="74">
        <f t="shared" si="0"/>
        <v>986</v>
      </c>
      <c r="G16" s="74">
        <f t="shared" si="0"/>
        <v>1014</v>
      </c>
      <c r="H16" s="74">
        <f t="shared" si="0"/>
        <v>1016</v>
      </c>
      <c r="I16" s="74">
        <f>SUM(I11:I15)</f>
        <v>93</v>
      </c>
      <c r="J16" s="74">
        <f>SUM(J11:J15)</f>
        <v>118</v>
      </c>
      <c r="K16" s="74">
        <f>SUM(K11:K15)</f>
        <v>146</v>
      </c>
      <c r="L16" s="74">
        <f>SUM(L11:L15)</f>
        <v>209</v>
      </c>
      <c r="M16" s="74">
        <f>SUM(M11:M15)</f>
        <v>450</v>
      </c>
    </row>
    <row r="17" spans="1:14" ht="12.75" customHeight="1" x14ac:dyDescent="0.2">
      <c r="A17" s="53" t="s">
        <v>28</v>
      </c>
      <c r="B17" s="54">
        <f t="shared" ref="B17:B34" si="1">C17+H17</f>
        <v>2748</v>
      </c>
      <c r="C17" s="54">
        <f t="shared" ref="C17:C34" si="2">SUM(D17:G17)</f>
        <v>2277</v>
      </c>
      <c r="D17" s="54">
        <f>576-58+36</f>
        <v>554</v>
      </c>
      <c r="E17" s="54">
        <f>596-47+34</f>
        <v>583</v>
      </c>
      <c r="F17" s="54">
        <f>604-65+46</f>
        <v>585</v>
      </c>
      <c r="G17" s="21">
        <f>557-45+43</f>
        <v>555</v>
      </c>
      <c r="H17" s="54">
        <f>SUM(I17:M17)</f>
        <v>471</v>
      </c>
      <c r="I17" s="54">
        <v>29</v>
      </c>
      <c r="J17" s="54">
        <v>59</v>
      </c>
      <c r="K17" s="54">
        <v>70</v>
      </c>
      <c r="L17" s="54">
        <v>118</v>
      </c>
      <c r="M17" s="54">
        <v>195</v>
      </c>
    </row>
    <row r="18" spans="1:14" ht="12.75" customHeight="1" x14ac:dyDescent="0.2">
      <c r="A18" s="53" t="s">
        <v>29</v>
      </c>
      <c r="B18" s="54">
        <f t="shared" si="1"/>
        <v>250</v>
      </c>
      <c r="C18" s="54">
        <f t="shared" si="2"/>
        <v>250</v>
      </c>
      <c r="D18" s="54">
        <v>64</v>
      </c>
      <c r="E18" s="54">
        <v>64</v>
      </c>
      <c r="F18" s="54">
        <v>59</v>
      </c>
      <c r="G18" s="21">
        <v>63</v>
      </c>
      <c r="H18" s="54">
        <f>SUM(I18:M18)</f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</row>
    <row r="19" spans="1:14" ht="12.75" customHeight="1" x14ac:dyDescent="0.2">
      <c r="A19" s="53" t="s">
        <v>30</v>
      </c>
      <c r="B19" s="54">
        <f t="shared" si="1"/>
        <v>399</v>
      </c>
      <c r="C19" s="54">
        <f t="shared" si="2"/>
        <v>399</v>
      </c>
      <c r="D19" s="54">
        <v>97</v>
      </c>
      <c r="E19" s="54">
        <v>101</v>
      </c>
      <c r="F19" s="54">
        <v>98</v>
      </c>
      <c r="G19" s="21">
        <v>103</v>
      </c>
      <c r="H19" s="54">
        <f>SUM(I19:M19)</f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</row>
    <row r="20" spans="1:14" ht="12.75" customHeight="1" x14ac:dyDescent="0.2">
      <c r="A20" s="53" t="s">
        <v>31</v>
      </c>
      <c r="B20" s="54">
        <f t="shared" si="1"/>
        <v>594</v>
      </c>
      <c r="C20" s="54">
        <f t="shared" si="2"/>
        <v>579</v>
      </c>
      <c r="D20" s="54">
        <v>143</v>
      </c>
      <c r="E20" s="54">
        <v>147</v>
      </c>
      <c r="F20" s="54">
        <v>141</v>
      </c>
      <c r="G20" s="21">
        <v>148</v>
      </c>
      <c r="H20" s="54">
        <f t="shared" ref="H20:H34" si="3">SUM(I20:M20)</f>
        <v>15</v>
      </c>
      <c r="I20" s="54">
        <v>0</v>
      </c>
      <c r="J20" s="54">
        <v>0</v>
      </c>
      <c r="K20" s="54">
        <v>0</v>
      </c>
      <c r="L20" s="54">
        <v>0</v>
      </c>
      <c r="M20" s="54">
        <v>15</v>
      </c>
    </row>
    <row r="21" spans="1:14" ht="12.75" customHeight="1" x14ac:dyDescent="0.2">
      <c r="A21" s="53" t="s">
        <v>32</v>
      </c>
      <c r="B21" s="54">
        <f t="shared" si="1"/>
        <v>1044</v>
      </c>
      <c r="C21" s="54">
        <f t="shared" si="2"/>
        <v>792</v>
      </c>
      <c r="D21" s="54">
        <v>203</v>
      </c>
      <c r="E21" s="54">
        <v>216</v>
      </c>
      <c r="F21" s="54">
        <v>182</v>
      </c>
      <c r="G21" s="21">
        <v>191</v>
      </c>
      <c r="H21" s="54">
        <f t="shared" si="3"/>
        <v>252</v>
      </c>
      <c r="I21" s="54">
        <v>18</v>
      </c>
      <c r="J21" s="54">
        <v>35</v>
      </c>
      <c r="K21" s="54">
        <v>45</v>
      </c>
      <c r="L21" s="54">
        <v>48</v>
      </c>
      <c r="M21" s="54">
        <v>106</v>
      </c>
      <c r="N21" s="54"/>
    </row>
    <row r="22" spans="1:14" ht="12.75" customHeight="1" x14ac:dyDescent="0.2">
      <c r="A22" s="53" t="s">
        <v>33</v>
      </c>
      <c r="B22" s="54">
        <f t="shared" si="1"/>
        <v>438</v>
      </c>
      <c r="C22" s="54">
        <f t="shared" si="2"/>
        <v>296</v>
      </c>
      <c r="D22" s="54">
        <f>33+42</f>
        <v>75</v>
      </c>
      <c r="E22" s="54">
        <f>43+35</f>
        <v>78</v>
      </c>
      <c r="F22" s="54">
        <f>38+33</f>
        <v>71</v>
      </c>
      <c r="G22" s="21">
        <f>37+35</f>
        <v>72</v>
      </c>
      <c r="H22" s="54">
        <f t="shared" si="3"/>
        <v>142</v>
      </c>
      <c r="I22" s="54">
        <v>0</v>
      </c>
      <c r="J22" s="54">
        <v>0</v>
      </c>
      <c r="K22" s="54">
        <v>30</v>
      </c>
      <c r="L22" s="54">
        <v>20</v>
      </c>
      <c r="M22" s="54">
        <f>44+48</f>
        <v>92</v>
      </c>
      <c r="N22" s="54"/>
    </row>
    <row r="23" spans="1:14" ht="12.75" customHeight="1" x14ac:dyDescent="0.2">
      <c r="A23" s="53" t="s">
        <v>34</v>
      </c>
      <c r="B23" s="54">
        <f t="shared" si="1"/>
        <v>785</v>
      </c>
      <c r="C23" s="54">
        <f t="shared" si="2"/>
        <v>672</v>
      </c>
      <c r="D23" s="54">
        <v>153</v>
      </c>
      <c r="E23" s="54">
        <v>197</v>
      </c>
      <c r="F23" s="54">
        <v>157</v>
      </c>
      <c r="G23" s="21">
        <v>165</v>
      </c>
      <c r="H23" s="54">
        <f t="shared" si="3"/>
        <v>113</v>
      </c>
      <c r="I23" s="54">
        <v>0</v>
      </c>
      <c r="J23" s="54">
        <v>0</v>
      </c>
      <c r="K23" s="54">
        <v>25</v>
      </c>
      <c r="L23" s="54">
        <v>27</v>
      </c>
      <c r="M23" s="54">
        <f>39+22</f>
        <v>61</v>
      </c>
    </row>
    <row r="24" spans="1:14" ht="12.75" customHeight="1" x14ac:dyDescent="0.2">
      <c r="A24" s="53" t="s">
        <v>35</v>
      </c>
      <c r="B24" s="54">
        <f t="shared" si="1"/>
        <v>1150</v>
      </c>
      <c r="C24" s="54">
        <f t="shared" si="2"/>
        <v>811</v>
      </c>
      <c r="D24" s="54">
        <f>97+78</f>
        <v>175</v>
      </c>
      <c r="E24" s="54">
        <f>113+108</f>
        <v>221</v>
      </c>
      <c r="F24" s="54">
        <f>111+92</f>
        <v>203</v>
      </c>
      <c r="G24" s="21">
        <f>122+90</f>
        <v>212</v>
      </c>
      <c r="H24" s="54">
        <f t="shared" si="3"/>
        <v>339</v>
      </c>
      <c r="I24" s="54">
        <f>19+19</f>
        <v>38</v>
      </c>
      <c r="J24" s="54">
        <f>18+21</f>
        <v>39</v>
      </c>
      <c r="K24" s="54">
        <f>22+20</f>
        <v>42</v>
      </c>
      <c r="L24" s="54">
        <f>26+45</f>
        <v>71</v>
      </c>
      <c r="M24" s="54">
        <f>36+35+37+41</f>
        <v>149</v>
      </c>
    </row>
    <row r="25" spans="1:14" ht="12.75" customHeight="1" x14ac:dyDescent="0.2">
      <c r="A25" s="53" t="s">
        <v>36</v>
      </c>
      <c r="B25" s="54">
        <f t="shared" si="1"/>
        <v>331</v>
      </c>
      <c r="C25" s="54">
        <f t="shared" si="2"/>
        <v>215</v>
      </c>
      <c r="D25" s="54">
        <v>58</v>
      </c>
      <c r="E25" s="54">
        <v>47</v>
      </c>
      <c r="F25" s="54">
        <v>65</v>
      </c>
      <c r="G25" s="21">
        <v>45</v>
      </c>
      <c r="H25" s="54">
        <f t="shared" si="3"/>
        <v>116</v>
      </c>
      <c r="I25" s="54">
        <v>0</v>
      </c>
      <c r="J25" s="54">
        <v>0</v>
      </c>
      <c r="K25" s="54">
        <v>20</v>
      </c>
      <c r="L25" s="54">
        <v>37</v>
      </c>
      <c r="M25" s="54">
        <f>38+21</f>
        <v>59</v>
      </c>
    </row>
    <row r="26" spans="1:14" ht="12.75" customHeight="1" x14ac:dyDescent="0.2">
      <c r="A26" s="53" t="s">
        <v>37</v>
      </c>
      <c r="B26" s="54">
        <f t="shared" si="1"/>
        <v>302</v>
      </c>
      <c r="C26" s="54">
        <f t="shared" si="2"/>
        <v>302</v>
      </c>
      <c r="D26" s="54">
        <f>46+30</f>
        <v>76</v>
      </c>
      <c r="E26" s="54">
        <f>30+42</f>
        <v>72</v>
      </c>
      <c r="F26" s="54">
        <f>47+30</f>
        <v>77</v>
      </c>
      <c r="G26" s="21">
        <f>37+40</f>
        <v>77</v>
      </c>
      <c r="H26" s="54">
        <f t="shared" si="3"/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</row>
    <row r="27" spans="1:14" ht="12.75" customHeight="1" x14ac:dyDescent="0.2">
      <c r="A27" s="53" t="s">
        <v>38</v>
      </c>
      <c r="B27" s="54">
        <f t="shared" si="1"/>
        <v>423</v>
      </c>
      <c r="C27" s="54">
        <f t="shared" si="2"/>
        <v>324</v>
      </c>
      <c r="D27" s="54">
        <v>85</v>
      </c>
      <c r="E27" s="54">
        <v>65</v>
      </c>
      <c r="F27" s="54">
        <v>95</v>
      </c>
      <c r="G27" s="21">
        <v>79</v>
      </c>
      <c r="H27" s="54">
        <f t="shared" si="3"/>
        <v>99</v>
      </c>
      <c r="I27" s="54">
        <v>0</v>
      </c>
      <c r="J27" s="54">
        <v>19</v>
      </c>
      <c r="K27" s="54">
        <v>15</v>
      </c>
      <c r="L27" s="54">
        <v>23</v>
      </c>
      <c r="M27" s="54">
        <f>24+18</f>
        <v>42</v>
      </c>
    </row>
    <row r="28" spans="1:14" ht="12.75" customHeight="1" x14ac:dyDescent="0.2">
      <c r="A28" s="53" t="s">
        <v>39</v>
      </c>
      <c r="B28" s="54">
        <f t="shared" si="1"/>
        <v>1069</v>
      </c>
      <c r="C28" s="54">
        <f t="shared" si="2"/>
        <v>1018</v>
      </c>
      <c r="D28" s="54">
        <v>262</v>
      </c>
      <c r="E28" s="54">
        <v>267</v>
      </c>
      <c r="F28" s="54">
        <v>242</v>
      </c>
      <c r="G28" s="21">
        <v>247</v>
      </c>
      <c r="H28" s="54">
        <f t="shared" si="3"/>
        <v>51</v>
      </c>
      <c r="I28" s="54">
        <v>0</v>
      </c>
      <c r="J28" s="54">
        <v>0</v>
      </c>
      <c r="K28" s="54">
        <v>5</v>
      </c>
      <c r="L28" s="54">
        <v>7</v>
      </c>
      <c r="M28" s="54">
        <f>18+21</f>
        <v>39</v>
      </c>
    </row>
    <row r="29" spans="1:14" ht="12.75" customHeight="1" x14ac:dyDescent="0.2">
      <c r="A29" s="53" t="s">
        <v>40</v>
      </c>
      <c r="B29" s="54">
        <f t="shared" si="1"/>
        <v>355</v>
      </c>
      <c r="C29" s="54">
        <f t="shared" si="2"/>
        <v>331</v>
      </c>
      <c r="D29" s="54">
        <v>93</v>
      </c>
      <c r="E29" s="54">
        <v>79</v>
      </c>
      <c r="F29" s="54">
        <v>86</v>
      </c>
      <c r="G29" s="21">
        <v>73</v>
      </c>
      <c r="H29" s="54">
        <f t="shared" si="3"/>
        <v>24</v>
      </c>
      <c r="I29" s="54">
        <v>0</v>
      </c>
      <c r="J29" s="54">
        <v>0</v>
      </c>
      <c r="K29" s="54">
        <v>0</v>
      </c>
      <c r="L29" s="54">
        <v>15</v>
      </c>
      <c r="M29" s="54">
        <v>9</v>
      </c>
    </row>
    <row r="30" spans="1:14" ht="12.75" customHeight="1" x14ac:dyDescent="0.2">
      <c r="A30" s="53" t="s">
        <v>41</v>
      </c>
      <c r="B30" s="54">
        <f t="shared" si="1"/>
        <v>568</v>
      </c>
      <c r="C30" s="54">
        <f t="shared" si="2"/>
        <v>520</v>
      </c>
      <c r="D30" s="54">
        <f>67+58</f>
        <v>125</v>
      </c>
      <c r="E30" s="54">
        <f>58+72</f>
        <v>130</v>
      </c>
      <c r="F30" s="54">
        <f>64+68</f>
        <v>132</v>
      </c>
      <c r="G30" s="21">
        <f>65+68</f>
        <v>133</v>
      </c>
      <c r="H30" s="54">
        <f t="shared" si="3"/>
        <v>48</v>
      </c>
      <c r="I30" s="54">
        <v>0</v>
      </c>
      <c r="J30" s="54">
        <v>0</v>
      </c>
      <c r="K30" s="54">
        <v>0</v>
      </c>
      <c r="L30" s="54">
        <v>17</v>
      </c>
      <c r="M30" s="54">
        <v>31</v>
      </c>
    </row>
    <row r="31" spans="1:14" ht="12.75" customHeight="1" x14ac:dyDescent="0.2">
      <c r="A31" s="53" t="s">
        <v>42</v>
      </c>
      <c r="B31" s="54">
        <f t="shared" si="1"/>
        <v>1595</v>
      </c>
      <c r="C31" s="54">
        <f t="shared" si="2"/>
        <v>1369</v>
      </c>
      <c r="D31" s="54">
        <f>382-34</f>
        <v>348</v>
      </c>
      <c r="E31" s="54">
        <f>377-41</f>
        <v>336</v>
      </c>
      <c r="F31" s="54">
        <f>377-42</f>
        <v>335</v>
      </c>
      <c r="G31" s="21">
        <f>393-43</f>
        <v>350</v>
      </c>
      <c r="H31" s="54">
        <f t="shared" si="3"/>
        <v>226</v>
      </c>
      <c r="I31" s="54">
        <v>20</v>
      </c>
      <c r="J31" s="54">
        <v>24</v>
      </c>
      <c r="K31" s="54">
        <v>34</v>
      </c>
      <c r="L31" s="54">
        <v>52</v>
      </c>
      <c r="M31" s="54">
        <f>61+35</f>
        <v>96</v>
      </c>
      <c r="N31" s="54"/>
    </row>
    <row r="32" spans="1:14" ht="12.75" customHeight="1" x14ac:dyDescent="0.2">
      <c r="A32" s="53" t="s">
        <v>43</v>
      </c>
      <c r="B32" s="54">
        <f t="shared" si="1"/>
        <v>417</v>
      </c>
      <c r="C32" s="54">
        <f t="shared" si="2"/>
        <v>267</v>
      </c>
      <c r="D32" s="54">
        <v>69</v>
      </c>
      <c r="E32" s="54">
        <v>68</v>
      </c>
      <c r="F32" s="54">
        <v>65</v>
      </c>
      <c r="G32" s="21">
        <v>65</v>
      </c>
      <c r="H32" s="54">
        <f t="shared" si="3"/>
        <v>150</v>
      </c>
      <c r="I32" s="54">
        <v>25</v>
      </c>
      <c r="J32" s="54">
        <v>26</v>
      </c>
      <c r="K32" s="54">
        <v>24</v>
      </c>
      <c r="L32" s="54">
        <v>20</v>
      </c>
      <c r="M32" s="54">
        <f>32+23</f>
        <v>55</v>
      </c>
    </row>
    <row r="33" spans="1:13" ht="12.75" customHeight="1" x14ac:dyDescent="0.2">
      <c r="A33" s="53" t="s">
        <v>44</v>
      </c>
      <c r="B33" s="54">
        <f t="shared" si="1"/>
        <v>1368</v>
      </c>
      <c r="C33" s="54">
        <f t="shared" si="2"/>
        <v>1144</v>
      </c>
      <c r="D33" s="54">
        <v>295</v>
      </c>
      <c r="E33" s="54">
        <v>283</v>
      </c>
      <c r="F33" s="54">
        <v>283</v>
      </c>
      <c r="G33" s="21">
        <v>283</v>
      </c>
      <c r="H33" s="54">
        <f t="shared" si="3"/>
        <v>224</v>
      </c>
      <c r="I33" s="54">
        <v>24</v>
      </c>
      <c r="J33" s="54">
        <v>23</v>
      </c>
      <c r="K33" s="54">
        <v>38</v>
      </c>
      <c r="L33" s="54">
        <v>56</v>
      </c>
      <c r="M33" s="54">
        <f>57+26</f>
        <v>83</v>
      </c>
    </row>
    <row r="34" spans="1:13" ht="12.75" customHeight="1" x14ac:dyDescent="0.2">
      <c r="A34" s="53" t="s">
        <v>45</v>
      </c>
      <c r="B34" s="54">
        <f t="shared" si="1"/>
        <v>1691</v>
      </c>
      <c r="C34" s="54">
        <f t="shared" si="2"/>
        <v>1342</v>
      </c>
      <c r="D34" s="54">
        <v>330</v>
      </c>
      <c r="E34" s="54">
        <v>361</v>
      </c>
      <c r="F34" s="54">
        <v>347</v>
      </c>
      <c r="G34" s="21">
        <v>304</v>
      </c>
      <c r="H34" s="54">
        <f t="shared" si="3"/>
        <v>349</v>
      </c>
      <c r="I34" s="54">
        <v>32</v>
      </c>
      <c r="J34" s="54">
        <v>41</v>
      </c>
      <c r="K34" s="54">
        <v>51</v>
      </c>
      <c r="L34" s="54">
        <v>80</v>
      </c>
      <c r="M34" s="54">
        <f>92+53</f>
        <v>145</v>
      </c>
    </row>
    <row r="35" spans="1:13" s="58" customFormat="1" ht="17.100000000000001" customHeight="1" x14ac:dyDescent="0.2">
      <c r="A35" s="73" t="s">
        <v>46</v>
      </c>
      <c r="B35" s="74">
        <f t="shared" ref="B35:M35" si="4">SUM(B17:B34)</f>
        <v>15527</v>
      </c>
      <c r="C35" s="74">
        <f t="shared" si="4"/>
        <v>12908</v>
      </c>
      <c r="D35" s="74">
        <f t="shared" si="4"/>
        <v>3205</v>
      </c>
      <c r="E35" s="74">
        <f t="shared" si="4"/>
        <v>3315</v>
      </c>
      <c r="F35" s="74">
        <f t="shared" si="4"/>
        <v>3223</v>
      </c>
      <c r="G35" s="74">
        <f t="shared" si="4"/>
        <v>3165</v>
      </c>
      <c r="H35" s="74">
        <f t="shared" si="4"/>
        <v>2619</v>
      </c>
      <c r="I35" s="74">
        <f t="shared" si="4"/>
        <v>186</v>
      </c>
      <c r="J35" s="74">
        <f t="shared" si="4"/>
        <v>266</v>
      </c>
      <c r="K35" s="74">
        <f t="shared" si="4"/>
        <v>399</v>
      </c>
      <c r="L35" s="74">
        <f t="shared" si="4"/>
        <v>591</v>
      </c>
      <c r="M35" s="74">
        <f t="shared" si="4"/>
        <v>1177</v>
      </c>
    </row>
    <row r="36" spans="1:13" ht="17.100000000000001" customHeight="1" x14ac:dyDescent="0.2">
      <c r="A36" s="55" t="s">
        <v>47</v>
      </c>
      <c r="B36" s="56">
        <f t="shared" ref="B36:M36" si="5">+B16+B35</f>
        <v>20569</v>
      </c>
      <c r="C36" s="56">
        <f t="shared" si="5"/>
        <v>16934</v>
      </c>
      <c r="D36" s="56">
        <f t="shared" si="5"/>
        <v>4223</v>
      </c>
      <c r="E36" s="56">
        <f t="shared" si="5"/>
        <v>4323</v>
      </c>
      <c r="F36" s="56">
        <f t="shared" si="5"/>
        <v>4209</v>
      </c>
      <c r="G36" s="56">
        <f t="shared" si="5"/>
        <v>4179</v>
      </c>
      <c r="H36" s="56">
        <f t="shared" si="5"/>
        <v>3635</v>
      </c>
      <c r="I36" s="56">
        <f t="shared" si="5"/>
        <v>279</v>
      </c>
      <c r="J36" s="56">
        <f t="shared" si="5"/>
        <v>384</v>
      </c>
      <c r="K36" s="56">
        <f t="shared" si="5"/>
        <v>545</v>
      </c>
      <c r="L36" s="56">
        <f t="shared" si="5"/>
        <v>800</v>
      </c>
      <c r="M36" s="56">
        <f t="shared" si="5"/>
        <v>1627</v>
      </c>
    </row>
    <row r="37" spans="1:13" s="66" customFormat="1" ht="12.75" customHeight="1" x14ac:dyDescent="0.25">
      <c r="A37" s="64" t="s">
        <v>75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3" ht="12.75" customHeight="1" x14ac:dyDescent="0.2">
      <c r="A38" s="59" t="s">
        <v>96</v>
      </c>
      <c r="B38" s="58"/>
      <c r="C38" s="58"/>
      <c r="D38" s="58"/>
    </row>
    <row r="39" spans="1:13" ht="6" customHeight="1" x14ac:dyDescent="0.2">
      <c r="A39" s="58"/>
      <c r="B39" s="58"/>
      <c r="C39" s="58"/>
      <c r="D39" s="58"/>
    </row>
    <row r="40" spans="1:13" ht="12.75" customHeight="1" x14ac:dyDescent="0.2">
      <c r="A40" s="60" t="s">
        <v>78</v>
      </c>
      <c r="B40" s="58"/>
      <c r="C40" s="58"/>
      <c r="D40" s="58"/>
    </row>
    <row r="62" spans="1:1" ht="10.199999999999999" x14ac:dyDescent="0.2">
      <c r="A62" s="45"/>
    </row>
    <row r="63" spans="1:1" ht="10.199999999999999" x14ac:dyDescent="0.2"/>
  </sheetData>
  <mergeCells count="6">
    <mergeCell ref="I6:M8"/>
    <mergeCell ref="A5:A9"/>
    <mergeCell ref="B5:B9"/>
    <mergeCell ref="C6:C9"/>
    <mergeCell ref="D6:G8"/>
    <mergeCell ref="H6:H9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Normal="100" workbookViewId="0">
      <selection activeCell="A4" sqref="A4"/>
    </sheetView>
  </sheetViews>
  <sheetFormatPr baseColWidth="10" defaultColWidth="8.42578125" defaultRowHeight="12.75" customHeight="1" x14ac:dyDescent="0.2"/>
  <cols>
    <col min="1" max="1" width="21.7109375" style="20" customWidth="1"/>
    <col min="2" max="2" width="9.140625" style="20" customWidth="1"/>
    <col min="3" max="3" width="8" style="20" customWidth="1"/>
    <col min="4" max="7" width="7.7109375" style="20" customWidth="1"/>
    <col min="8" max="8" width="9.140625" style="20" customWidth="1"/>
    <col min="9" max="13" width="7.7109375" style="20" customWidth="1"/>
    <col min="14" max="14" width="6.7109375" style="20" customWidth="1"/>
    <col min="15" max="15" width="7.7109375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26.7" customHeight="1" x14ac:dyDescent="0.25">
      <c r="A3" s="68" t="s">
        <v>101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14.7" customHeight="1" thickBot="1" x14ac:dyDescent="0.25">
      <c r="A5" s="80" t="s">
        <v>8</v>
      </c>
      <c r="B5" s="81" t="s">
        <v>90</v>
      </c>
      <c r="C5" s="47" t="s">
        <v>4</v>
      </c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4" ht="14.7" customHeight="1" thickBot="1" x14ac:dyDescent="0.25">
      <c r="A6" s="77"/>
      <c r="B6" s="77"/>
      <c r="C6" s="82" t="s">
        <v>85</v>
      </c>
      <c r="D6" s="77" t="s">
        <v>77</v>
      </c>
      <c r="E6" s="78"/>
      <c r="F6" s="78"/>
      <c r="G6" s="78"/>
      <c r="H6" s="82" t="s">
        <v>89</v>
      </c>
      <c r="I6" s="77" t="s">
        <v>77</v>
      </c>
      <c r="J6" s="78"/>
      <c r="K6" s="78"/>
      <c r="L6" s="78"/>
      <c r="M6" s="79"/>
    </row>
    <row r="7" spans="1:14" ht="14.7" customHeight="1" thickBot="1" x14ac:dyDescent="0.25">
      <c r="A7" s="77"/>
      <c r="B7" s="77"/>
      <c r="C7" s="77"/>
      <c r="D7" s="78"/>
      <c r="E7" s="78"/>
      <c r="F7" s="78"/>
      <c r="G7" s="78"/>
      <c r="H7" s="77"/>
      <c r="I7" s="78"/>
      <c r="J7" s="78"/>
      <c r="K7" s="78"/>
      <c r="L7" s="78"/>
      <c r="M7" s="79"/>
    </row>
    <row r="8" spans="1:14" ht="14.7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4.7" customHeight="1" thickBot="1" x14ac:dyDescent="0.25">
      <c r="A9" s="77"/>
      <c r="B9" s="77"/>
      <c r="C9" s="77"/>
      <c r="D9" s="61">
        <v>1</v>
      </c>
      <c r="E9" s="61">
        <v>2</v>
      </c>
      <c r="F9" s="61">
        <v>3</v>
      </c>
      <c r="G9" s="62">
        <v>4</v>
      </c>
      <c r="H9" s="77"/>
      <c r="I9" s="61">
        <v>5</v>
      </c>
      <c r="J9" s="61">
        <v>6</v>
      </c>
      <c r="K9" s="61">
        <v>7</v>
      </c>
      <c r="L9" s="61">
        <v>8</v>
      </c>
      <c r="M9" s="51" t="s">
        <v>21</v>
      </c>
    </row>
    <row r="10" spans="1:14" ht="12.75" customHeight="1" x14ac:dyDescent="0.2">
      <c r="A10" s="5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 t="s">
        <v>76</v>
      </c>
    </row>
    <row r="11" spans="1:14" ht="12.75" customHeight="1" x14ac:dyDescent="0.2">
      <c r="A11" s="53" t="s">
        <v>22</v>
      </c>
      <c r="B11" s="54">
        <f>C11+H11</f>
        <v>157</v>
      </c>
      <c r="C11" s="54">
        <f>SUM(D11:G11)</f>
        <v>157</v>
      </c>
      <c r="D11" s="54">
        <v>32</v>
      </c>
      <c r="E11" s="54">
        <v>49</v>
      </c>
      <c r="F11" s="54">
        <v>41</v>
      </c>
      <c r="G11" s="21">
        <v>35</v>
      </c>
      <c r="H11" s="54">
        <f>I11+J11+K11+L11+M11</f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</row>
    <row r="12" spans="1:14" ht="12.75" customHeight="1" x14ac:dyDescent="0.2">
      <c r="A12" s="53" t="s">
        <v>23</v>
      </c>
      <c r="B12" s="54">
        <f>C12+H12</f>
        <v>1111</v>
      </c>
      <c r="C12" s="54">
        <f>SUM(D12:G12)</f>
        <v>945</v>
      </c>
      <c r="D12" s="54">
        <v>226</v>
      </c>
      <c r="E12" s="54">
        <v>213</v>
      </c>
      <c r="F12" s="54">
        <v>251</v>
      </c>
      <c r="G12" s="21">
        <v>255</v>
      </c>
      <c r="H12" s="54">
        <f>I12+J12+K12+L12+M12</f>
        <v>166</v>
      </c>
      <c r="I12" s="54">
        <v>24</v>
      </c>
      <c r="J12" s="54">
        <v>18</v>
      </c>
      <c r="K12" s="54">
        <v>22</v>
      </c>
      <c r="L12" s="54">
        <v>21</v>
      </c>
      <c r="M12" s="54">
        <v>81</v>
      </c>
    </row>
    <row r="13" spans="1:14" ht="12.75" customHeight="1" x14ac:dyDescent="0.2">
      <c r="A13" s="53" t="s">
        <v>24</v>
      </c>
      <c r="B13" s="54">
        <f>C13+H13</f>
        <v>1734</v>
      </c>
      <c r="C13" s="54">
        <f>SUM(D13:G13)</f>
        <v>1267</v>
      </c>
      <c r="D13" s="21">
        <v>319</v>
      </c>
      <c r="E13" s="21">
        <v>313</v>
      </c>
      <c r="F13" s="21">
        <v>312</v>
      </c>
      <c r="G13" s="21">
        <v>323</v>
      </c>
      <c r="H13" s="54">
        <f>I13+J13+K13+L13+M13</f>
        <v>467</v>
      </c>
      <c r="I13" s="21">
        <v>35</v>
      </c>
      <c r="J13" s="21">
        <v>67</v>
      </c>
      <c r="K13" s="21">
        <v>84</v>
      </c>
      <c r="L13" s="21">
        <v>111</v>
      </c>
      <c r="M13" s="21">
        <v>170</v>
      </c>
      <c r="N13" s="54"/>
    </row>
    <row r="14" spans="1:14" ht="12.75" customHeight="1" x14ac:dyDescent="0.2">
      <c r="A14" s="53" t="s">
        <v>25</v>
      </c>
      <c r="B14" s="54">
        <f>C14+H14</f>
        <v>1204</v>
      </c>
      <c r="C14" s="54">
        <f>SUM(D14:G14)</f>
        <v>910</v>
      </c>
      <c r="D14" s="21">
        <v>230</v>
      </c>
      <c r="E14" s="21">
        <v>225</v>
      </c>
      <c r="F14" s="21">
        <v>225</v>
      </c>
      <c r="G14" s="21">
        <v>230</v>
      </c>
      <c r="H14" s="54">
        <f>I14+J14+K14+L14+M14</f>
        <v>294</v>
      </c>
      <c r="I14" s="21">
        <v>15</v>
      </c>
      <c r="J14" s="21">
        <v>37</v>
      </c>
      <c r="K14" s="21">
        <v>63</v>
      </c>
      <c r="L14" s="21">
        <v>50</v>
      </c>
      <c r="M14" s="21">
        <v>129</v>
      </c>
    </row>
    <row r="15" spans="1:14" ht="12.75" customHeight="1" x14ac:dyDescent="0.2">
      <c r="A15" s="53" t="s">
        <v>26</v>
      </c>
      <c r="B15" s="54">
        <f>C15+H15</f>
        <v>1049</v>
      </c>
      <c r="C15" s="54">
        <f>SUM(D15:G15)</f>
        <v>784</v>
      </c>
      <c r="D15" s="21">
        <v>213</v>
      </c>
      <c r="E15" s="21">
        <v>192</v>
      </c>
      <c r="F15" s="21">
        <v>181</v>
      </c>
      <c r="G15" s="21">
        <v>198</v>
      </c>
      <c r="H15" s="54">
        <v>265</v>
      </c>
      <c r="I15" s="21">
        <v>24</v>
      </c>
      <c r="J15" s="21">
        <v>39</v>
      </c>
      <c r="K15" s="21">
        <v>46</v>
      </c>
      <c r="L15" s="21">
        <v>63</v>
      </c>
      <c r="M15" s="21">
        <v>137</v>
      </c>
    </row>
    <row r="16" spans="1:14" s="58" customFormat="1" ht="17.100000000000001" customHeight="1" x14ac:dyDescent="0.2">
      <c r="A16" s="73" t="s">
        <v>27</v>
      </c>
      <c r="B16" s="74">
        <f t="shared" ref="B16:M16" si="0">SUM(B11:B15)</f>
        <v>5255</v>
      </c>
      <c r="C16" s="74">
        <f t="shared" si="0"/>
        <v>4063</v>
      </c>
      <c r="D16" s="74">
        <f t="shared" si="0"/>
        <v>1020</v>
      </c>
      <c r="E16" s="74">
        <f t="shared" si="0"/>
        <v>992</v>
      </c>
      <c r="F16" s="74">
        <f t="shared" si="0"/>
        <v>1010</v>
      </c>
      <c r="G16" s="74">
        <f t="shared" si="0"/>
        <v>1041</v>
      </c>
      <c r="H16" s="74">
        <f t="shared" si="0"/>
        <v>1192</v>
      </c>
      <c r="I16" s="74">
        <f t="shared" si="0"/>
        <v>98</v>
      </c>
      <c r="J16" s="74">
        <f t="shared" si="0"/>
        <v>161</v>
      </c>
      <c r="K16" s="74">
        <f t="shared" si="0"/>
        <v>215</v>
      </c>
      <c r="L16" s="74">
        <f t="shared" si="0"/>
        <v>245</v>
      </c>
      <c r="M16" s="74">
        <f t="shared" si="0"/>
        <v>517</v>
      </c>
    </row>
    <row r="17" spans="1:14" ht="12.75" customHeight="1" x14ac:dyDescent="0.2">
      <c r="A17" s="53" t="s">
        <v>28</v>
      </c>
      <c r="B17" s="54">
        <f t="shared" ref="B17:B34" si="1">C17+H17</f>
        <v>2777</v>
      </c>
      <c r="C17" s="54">
        <f t="shared" ref="C17:C34" si="2">SUM(D17:G17)</f>
        <v>2239</v>
      </c>
      <c r="D17" s="54">
        <v>578</v>
      </c>
      <c r="E17" s="54">
        <v>554</v>
      </c>
      <c r="F17" s="54">
        <v>580</v>
      </c>
      <c r="G17" s="21">
        <v>527</v>
      </c>
      <c r="H17" s="54">
        <f>SUM(I17:M17)</f>
        <v>538</v>
      </c>
      <c r="I17" s="54">
        <v>62</v>
      </c>
      <c r="J17" s="54">
        <v>65</v>
      </c>
      <c r="K17" s="54">
        <v>116</v>
      </c>
      <c r="L17" s="54">
        <v>108</v>
      </c>
      <c r="M17" s="54">
        <v>187</v>
      </c>
    </row>
    <row r="18" spans="1:14" ht="12.75" customHeight="1" x14ac:dyDescent="0.2">
      <c r="A18" s="53" t="s">
        <v>29</v>
      </c>
      <c r="B18" s="54">
        <f t="shared" si="1"/>
        <v>232</v>
      </c>
      <c r="C18" s="54">
        <f t="shared" si="2"/>
        <v>232</v>
      </c>
      <c r="D18" s="54">
        <v>59</v>
      </c>
      <c r="E18" s="54">
        <v>60</v>
      </c>
      <c r="F18" s="54">
        <v>64</v>
      </c>
      <c r="G18" s="21">
        <v>49</v>
      </c>
      <c r="H18" s="54">
        <f>SUM(I18:M18)</f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</row>
    <row r="19" spans="1:14" ht="12.75" customHeight="1" x14ac:dyDescent="0.2">
      <c r="A19" s="53" t="s">
        <v>30</v>
      </c>
      <c r="B19" s="54">
        <f t="shared" si="1"/>
        <v>388</v>
      </c>
      <c r="C19" s="54">
        <f t="shared" si="2"/>
        <v>388</v>
      </c>
      <c r="D19" s="54">
        <v>100</v>
      </c>
      <c r="E19" s="54">
        <v>89</v>
      </c>
      <c r="F19" s="54">
        <v>108</v>
      </c>
      <c r="G19" s="21">
        <v>91</v>
      </c>
      <c r="H19" s="54">
        <f>SUM(I19:M19)</f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</row>
    <row r="20" spans="1:14" ht="12.75" customHeight="1" x14ac:dyDescent="0.2">
      <c r="A20" s="53" t="s">
        <v>31</v>
      </c>
      <c r="B20" s="54">
        <f t="shared" si="1"/>
        <v>595</v>
      </c>
      <c r="C20" s="54">
        <f t="shared" si="2"/>
        <v>569</v>
      </c>
      <c r="D20" s="54">
        <v>147</v>
      </c>
      <c r="E20" s="54">
        <v>137</v>
      </c>
      <c r="F20" s="54">
        <v>147</v>
      </c>
      <c r="G20" s="21">
        <v>138</v>
      </c>
      <c r="H20" s="54">
        <f t="shared" ref="H20:H26" si="3">SUM(I20:M20)</f>
        <v>26</v>
      </c>
      <c r="I20" s="54">
        <v>0</v>
      </c>
      <c r="J20" s="54">
        <v>0</v>
      </c>
      <c r="K20" s="54">
        <v>0</v>
      </c>
      <c r="L20" s="54">
        <v>15</v>
      </c>
      <c r="M20" s="54">
        <v>11</v>
      </c>
    </row>
    <row r="21" spans="1:14" ht="12.75" customHeight="1" x14ac:dyDescent="0.2">
      <c r="A21" s="53" t="s">
        <v>32</v>
      </c>
      <c r="B21" s="54">
        <f t="shared" si="1"/>
        <v>1074</v>
      </c>
      <c r="C21" s="54">
        <f t="shared" si="2"/>
        <v>801</v>
      </c>
      <c r="D21" s="54">
        <v>212</v>
      </c>
      <c r="E21" s="54">
        <v>194</v>
      </c>
      <c r="F21" s="54">
        <v>190</v>
      </c>
      <c r="G21" s="21">
        <v>205</v>
      </c>
      <c r="H21" s="54">
        <f t="shared" si="3"/>
        <v>273</v>
      </c>
      <c r="I21" s="54">
        <v>31</v>
      </c>
      <c r="J21" s="54">
        <v>43</v>
      </c>
      <c r="K21" s="54">
        <v>48</v>
      </c>
      <c r="L21" s="54">
        <v>64</v>
      </c>
      <c r="M21" s="54">
        <v>87</v>
      </c>
      <c r="N21" s="54"/>
    </row>
    <row r="22" spans="1:14" ht="12.75" customHeight="1" x14ac:dyDescent="0.2">
      <c r="A22" s="53" t="s">
        <v>33</v>
      </c>
      <c r="B22" s="54">
        <f t="shared" si="1"/>
        <v>426</v>
      </c>
      <c r="C22" s="54">
        <f t="shared" si="2"/>
        <v>275</v>
      </c>
      <c r="D22" s="54">
        <v>73</v>
      </c>
      <c r="E22" s="54">
        <v>67</v>
      </c>
      <c r="F22" s="54">
        <v>70</v>
      </c>
      <c r="G22" s="21">
        <v>65</v>
      </c>
      <c r="H22" s="54">
        <f t="shared" si="3"/>
        <v>151</v>
      </c>
      <c r="I22" s="54">
        <v>0</v>
      </c>
      <c r="J22" s="54">
        <v>16</v>
      </c>
      <c r="K22" s="54">
        <v>21</v>
      </c>
      <c r="L22" s="54">
        <v>38</v>
      </c>
      <c r="M22" s="54">
        <v>76</v>
      </c>
      <c r="N22" s="54"/>
    </row>
    <row r="23" spans="1:14" ht="12.75" customHeight="1" x14ac:dyDescent="0.2">
      <c r="A23" s="53" t="s">
        <v>34</v>
      </c>
      <c r="B23" s="54">
        <f t="shared" si="1"/>
        <v>796</v>
      </c>
      <c r="C23" s="54">
        <f t="shared" si="2"/>
        <v>660</v>
      </c>
      <c r="D23" s="54">
        <v>183</v>
      </c>
      <c r="E23" s="54">
        <v>157</v>
      </c>
      <c r="F23" s="54">
        <v>164</v>
      </c>
      <c r="G23" s="21">
        <v>156</v>
      </c>
      <c r="H23" s="54">
        <f t="shared" si="3"/>
        <v>136</v>
      </c>
      <c r="I23" s="54">
        <v>0</v>
      </c>
      <c r="J23" s="54">
        <v>25</v>
      </c>
      <c r="K23" s="54">
        <v>26</v>
      </c>
      <c r="L23" s="54">
        <v>39</v>
      </c>
      <c r="M23" s="54">
        <v>46</v>
      </c>
    </row>
    <row r="24" spans="1:14" ht="12.75" customHeight="1" x14ac:dyDescent="0.2">
      <c r="A24" s="53" t="s">
        <v>35</v>
      </c>
      <c r="B24" s="54">
        <f t="shared" si="1"/>
        <v>1157</v>
      </c>
      <c r="C24" s="54">
        <f t="shared" si="2"/>
        <v>807</v>
      </c>
      <c r="D24" s="54">
        <v>210</v>
      </c>
      <c r="E24" s="54">
        <v>180</v>
      </c>
      <c r="F24" s="54">
        <v>214</v>
      </c>
      <c r="G24" s="21">
        <v>203</v>
      </c>
      <c r="H24" s="54">
        <f t="shared" si="3"/>
        <v>350</v>
      </c>
      <c r="I24" s="54">
        <v>38</v>
      </c>
      <c r="J24" s="54">
        <v>42</v>
      </c>
      <c r="K24" s="54">
        <v>62</v>
      </c>
      <c r="L24" s="54">
        <v>77</v>
      </c>
      <c r="M24" s="54">
        <v>131</v>
      </c>
    </row>
    <row r="25" spans="1:14" ht="12.75" customHeight="1" x14ac:dyDescent="0.2">
      <c r="A25" s="53" t="s">
        <v>36</v>
      </c>
      <c r="B25" s="54">
        <f t="shared" si="1"/>
        <v>355</v>
      </c>
      <c r="C25" s="54">
        <f t="shared" si="2"/>
        <v>209</v>
      </c>
      <c r="D25" s="54">
        <v>58</v>
      </c>
      <c r="E25" s="54">
        <v>58</v>
      </c>
      <c r="F25" s="54">
        <v>45</v>
      </c>
      <c r="G25" s="21">
        <v>48</v>
      </c>
      <c r="H25" s="54">
        <f t="shared" si="3"/>
        <v>146</v>
      </c>
      <c r="I25" s="54">
        <v>0</v>
      </c>
      <c r="J25" s="54">
        <v>19</v>
      </c>
      <c r="K25" s="54">
        <v>32</v>
      </c>
      <c r="L25" s="54">
        <v>35</v>
      </c>
      <c r="M25" s="54">
        <v>60</v>
      </c>
    </row>
    <row r="26" spans="1:14" ht="12.75" customHeight="1" x14ac:dyDescent="0.2">
      <c r="A26" s="53" t="s">
        <v>37</v>
      </c>
      <c r="B26" s="54">
        <f t="shared" si="1"/>
        <v>298</v>
      </c>
      <c r="C26" s="54">
        <f t="shared" si="2"/>
        <v>298</v>
      </c>
      <c r="D26" s="54">
        <v>72</v>
      </c>
      <c r="E26" s="54">
        <v>83</v>
      </c>
      <c r="F26" s="54">
        <v>82</v>
      </c>
      <c r="G26" s="21">
        <v>61</v>
      </c>
      <c r="H26" s="54">
        <f t="shared" si="3"/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</row>
    <row r="27" spans="1:14" ht="12.75" customHeight="1" x14ac:dyDescent="0.2">
      <c r="A27" s="53" t="s">
        <v>38</v>
      </c>
      <c r="B27" s="54">
        <f t="shared" si="1"/>
        <v>434</v>
      </c>
      <c r="C27" s="54">
        <f t="shared" si="2"/>
        <v>311</v>
      </c>
      <c r="D27" s="54">
        <v>68</v>
      </c>
      <c r="E27" s="54">
        <v>93</v>
      </c>
      <c r="F27" s="54">
        <v>80</v>
      </c>
      <c r="G27" s="21">
        <v>70</v>
      </c>
      <c r="H27" s="54">
        <f t="shared" ref="H27:H34" si="4">SUM(I27:M27)</f>
        <v>123</v>
      </c>
      <c r="I27" s="54">
        <v>16</v>
      </c>
      <c r="J27" s="54">
        <v>16</v>
      </c>
      <c r="K27" s="54">
        <v>24</v>
      </c>
      <c r="L27" s="54">
        <v>21</v>
      </c>
      <c r="M27" s="54">
        <v>46</v>
      </c>
    </row>
    <row r="28" spans="1:14" ht="12.75" customHeight="1" x14ac:dyDescent="0.2">
      <c r="A28" s="53" t="s">
        <v>39</v>
      </c>
      <c r="B28" s="54">
        <f t="shared" si="1"/>
        <v>1057</v>
      </c>
      <c r="C28" s="54">
        <f t="shared" si="2"/>
        <v>966</v>
      </c>
      <c r="D28" s="54">
        <v>247</v>
      </c>
      <c r="E28" s="54">
        <v>229</v>
      </c>
      <c r="F28" s="54">
        <v>242</v>
      </c>
      <c r="G28" s="21">
        <v>248</v>
      </c>
      <c r="H28" s="54">
        <f t="shared" si="4"/>
        <v>91</v>
      </c>
      <c r="I28" s="54">
        <v>5</v>
      </c>
      <c r="J28" s="54">
        <v>9</v>
      </c>
      <c r="K28" s="54">
        <v>18</v>
      </c>
      <c r="L28" s="54">
        <v>21</v>
      </c>
      <c r="M28" s="54">
        <v>38</v>
      </c>
    </row>
    <row r="29" spans="1:14" ht="12.75" customHeight="1" x14ac:dyDescent="0.2">
      <c r="A29" s="53" t="s">
        <v>40</v>
      </c>
      <c r="B29" s="54">
        <f t="shared" si="1"/>
        <v>373</v>
      </c>
      <c r="C29" s="54">
        <f t="shared" si="2"/>
        <v>335</v>
      </c>
      <c r="D29" s="54">
        <v>90</v>
      </c>
      <c r="E29" s="54">
        <v>85</v>
      </c>
      <c r="F29" s="54">
        <v>79</v>
      </c>
      <c r="G29" s="21">
        <v>81</v>
      </c>
      <c r="H29" s="54">
        <f t="shared" si="4"/>
        <v>38</v>
      </c>
      <c r="I29" s="54">
        <v>0</v>
      </c>
      <c r="J29" s="54">
        <v>0</v>
      </c>
      <c r="K29" s="54">
        <v>11</v>
      </c>
      <c r="L29" s="54">
        <v>9</v>
      </c>
      <c r="M29" s="54">
        <v>18</v>
      </c>
    </row>
    <row r="30" spans="1:14" ht="12.75" customHeight="1" x14ac:dyDescent="0.2">
      <c r="A30" s="53" t="s">
        <v>41</v>
      </c>
      <c r="B30" s="54">
        <f t="shared" si="1"/>
        <v>608</v>
      </c>
      <c r="C30" s="54">
        <f t="shared" si="2"/>
        <v>520</v>
      </c>
      <c r="D30" s="54">
        <v>130</v>
      </c>
      <c r="E30" s="54">
        <v>131</v>
      </c>
      <c r="F30" s="54">
        <v>129</v>
      </c>
      <c r="G30" s="21">
        <v>130</v>
      </c>
      <c r="H30" s="54">
        <f t="shared" si="4"/>
        <v>88</v>
      </c>
      <c r="I30" s="54">
        <v>0</v>
      </c>
      <c r="J30" s="54">
        <v>11</v>
      </c>
      <c r="K30" s="54">
        <v>12</v>
      </c>
      <c r="L30" s="54">
        <v>27</v>
      </c>
      <c r="M30" s="54">
        <v>38</v>
      </c>
    </row>
    <row r="31" spans="1:14" ht="12.75" customHeight="1" x14ac:dyDescent="0.2">
      <c r="A31" s="53" t="s">
        <v>42</v>
      </c>
      <c r="B31" s="54">
        <f t="shared" si="1"/>
        <v>1578</v>
      </c>
      <c r="C31" s="54">
        <f t="shared" si="2"/>
        <v>1342</v>
      </c>
      <c r="D31" s="54">
        <v>340</v>
      </c>
      <c r="E31" s="54">
        <v>345</v>
      </c>
      <c r="F31" s="54">
        <v>351</v>
      </c>
      <c r="G31" s="21">
        <v>306</v>
      </c>
      <c r="H31" s="54">
        <f t="shared" si="4"/>
        <v>236</v>
      </c>
      <c r="I31" s="54">
        <v>14</v>
      </c>
      <c r="J31" s="54">
        <v>26</v>
      </c>
      <c r="K31" s="54">
        <v>49</v>
      </c>
      <c r="L31" s="54">
        <v>62</v>
      </c>
      <c r="M31" s="54">
        <v>85</v>
      </c>
      <c r="N31" s="54"/>
    </row>
    <row r="32" spans="1:14" ht="12.75" customHeight="1" x14ac:dyDescent="0.2">
      <c r="A32" s="53" t="s">
        <v>43</v>
      </c>
      <c r="B32" s="54">
        <f t="shared" si="1"/>
        <v>417</v>
      </c>
      <c r="C32" s="54">
        <f t="shared" si="2"/>
        <v>279</v>
      </c>
      <c r="D32" s="54">
        <v>66</v>
      </c>
      <c r="E32" s="54">
        <v>74</v>
      </c>
      <c r="F32" s="54">
        <v>68</v>
      </c>
      <c r="G32" s="21">
        <v>71</v>
      </c>
      <c r="H32" s="54">
        <f t="shared" si="4"/>
        <v>138</v>
      </c>
      <c r="I32" s="54">
        <v>22</v>
      </c>
      <c r="J32" s="54">
        <v>19</v>
      </c>
      <c r="K32" s="54">
        <v>14</v>
      </c>
      <c r="L32" s="54">
        <v>27</v>
      </c>
      <c r="M32" s="54">
        <v>56</v>
      </c>
    </row>
    <row r="33" spans="1:13" ht="12.75" customHeight="1" x14ac:dyDescent="0.2">
      <c r="A33" s="53" t="s">
        <v>44</v>
      </c>
      <c r="B33" s="54">
        <f t="shared" si="1"/>
        <v>1447</v>
      </c>
      <c r="C33" s="54">
        <f t="shared" si="2"/>
        <v>1188</v>
      </c>
      <c r="D33" s="54">
        <v>285</v>
      </c>
      <c r="E33" s="54">
        <v>299</v>
      </c>
      <c r="F33" s="54">
        <v>304</v>
      </c>
      <c r="G33" s="21">
        <v>300</v>
      </c>
      <c r="H33" s="54">
        <f t="shared" si="4"/>
        <v>259</v>
      </c>
      <c r="I33" s="54">
        <v>21</v>
      </c>
      <c r="J33" s="54">
        <v>41</v>
      </c>
      <c r="K33" s="54">
        <v>52</v>
      </c>
      <c r="L33" s="54">
        <v>55</v>
      </c>
      <c r="M33" s="54">
        <v>90</v>
      </c>
    </row>
    <row r="34" spans="1:13" ht="12.75" customHeight="1" x14ac:dyDescent="0.2">
      <c r="A34" s="53" t="s">
        <v>45</v>
      </c>
      <c r="B34" s="54">
        <f t="shared" si="1"/>
        <v>1682</v>
      </c>
      <c r="C34" s="54">
        <f t="shared" si="2"/>
        <v>1314</v>
      </c>
      <c r="D34" s="54">
        <v>357</v>
      </c>
      <c r="E34" s="54">
        <v>347</v>
      </c>
      <c r="F34" s="54">
        <v>297</v>
      </c>
      <c r="G34" s="21">
        <v>313</v>
      </c>
      <c r="H34" s="54">
        <f t="shared" si="4"/>
        <v>368</v>
      </c>
      <c r="I34" s="54">
        <v>36</v>
      </c>
      <c r="J34" s="54">
        <v>41</v>
      </c>
      <c r="K34" s="54">
        <v>77</v>
      </c>
      <c r="L34" s="54">
        <v>92</v>
      </c>
      <c r="M34" s="54">
        <f>76+46</f>
        <v>122</v>
      </c>
    </row>
    <row r="35" spans="1:13" s="58" customFormat="1" ht="17.100000000000001" customHeight="1" x14ac:dyDescent="0.2">
      <c r="A35" s="73" t="s">
        <v>46</v>
      </c>
      <c r="B35" s="74">
        <f t="shared" ref="B35:M35" si="5">SUM(B17:B34)</f>
        <v>15694</v>
      </c>
      <c r="C35" s="74">
        <f t="shared" si="5"/>
        <v>12733</v>
      </c>
      <c r="D35" s="74">
        <f t="shared" si="5"/>
        <v>3275</v>
      </c>
      <c r="E35" s="74">
        <f t="shared" si="5"/>
        <v>3182</v>
      </c>
      <c r="F35" s="74">
        <f t="shared" si="5"/>
        <v>3214</v>
      </c>
      <c r="G35" s="74">
        <f t="shared" si="5"/>
        <v>3062</v>
      </c>
      <c r="H35" s="74">
        <f t="shared" si="5"/>
        <v>2961</v>
      </c>
      <c r="I35" s="74">
        <f t="shared" si="5"/>
        <v>245</v>
      </c>
      <c r="J35" s="74">
        <f t="shared" si="5"/>
        <v>373</v>
      </c>
      <c r="K35" s="74">
        <f t="shared" si="5"/>
        <v>562</v>
      </c>
      <c r="L35" s="74">
        <f t="shared" si="5"/>
        <v>690</v>
      </c>
      <c r="M35" s="74">
        <f t="shared" si="5"/>
        <v>1091</v>
      </c>
    </row>
    <row r="36" spans="1:13" ht="17.100000000000001" customHeight="1" x14ac:dyDescent="0.2">
      <c r="A36" s="55" t="s">
        <v>47</v>
      </c>
      <c r="B36" s="56">
        <f t="shared" ref="B36:M36" si="6">+B16+B35</f>
        <v>20949</v>
      </c>
      <c r="C36" s="56">
        <f t="shared" si="6"/>
        <v>16796</v>
      </c>
      <c r="D36" s="56">
        <f t="shared" si="6"/>
        <v>4295</v>
      </c>
      <c r="E36" s="56">
        <f t="shared" si="6"/>
        <v>4174</v>
      </c>
      <c r="F36" s="56">
        <f t="shared" si="6"/>
        <v>4224</v>
      </c>
      <c r="G36" s="56">
        <f t="shared" si="6"/>
        <v>4103</v>
      </c>
      <c r="H36" s="56">
        <f t="shared" si="6"/>
        <v>4153</v>
      </c>
      <c r="I36" s="56">
        <f t="shared" si="6"/>
        <v>343</v>
      </c>
      <c r="J36" s="56">
        <f t="shared" si="6"/>
        <v>534</v>
      </c>
      <c r="K36" s="56">
        <f t="shared" si="6"/>
        <v>777</v>
      </c>
      <c r="L36" s="56">
        <f t="shared" si="6"/>
        <v>935</v>
      </c>
      <c r="M36" s="56">
        <f t="shared" si="6"/>
        <v>1608</v>
      </c>
    </row>
    <row r="37" spans="1:13" s="66" customFormat="1" ht="12.75" customHeight="1" x14ac:dyDescent="0.25">
      <c r="A37" s="64" t="s">
        <v>75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3" ht="12.75" customHeight="1" x14ac:dyDescent="0.2">
      <c r="A38" s="59" t="s">
        <v>96</v>
      </c>
      <c r="B38" s="58"/>
      <c r="C38" s="58"/>
      <c r="D38" s="58"/>
    </row>
    <row r="39" spans="1:13" ht="6" customHeight="1" x14ac:dyDescent="0.2">
      <c r="A39" s="58"/>
      <c r="B39" s="58"/>
      <c r="C39" s="58"/>
      <c r="D39" s="58"/>
    </row>
    <row r="40" spans="1:13" ht="12.75" customHeight="1" x14ac:dyDescent="0.2">
      <c r="A40" s="60" t="s">
        <v>78</v>
      </c>
      <c r="B40" s="58"/>
      <c r="C40" s="58"/>
      <c r="D40" s="58"/>
    </row>
    <row r="62" spans="1:1" ht="10.199999999999999" x14ac:dyDescent="0.2">
      <c r="A62" s="45"/>
    </row>
    <row r="63" spans="1:1" ht="10.199999999999999" x14ac:dyDescent="0.2"/>
  </sheetData>
  <mergeCells count="6">
    <mergeCell ref="I6:M8"/>
    <mergeCell ref="A5:A9"/>
    <mergeCell ref="B5:B9"/>
    <mergeCell ref="C6:C9"/>
    <mergeCell ref="D6:G8"/>
    <mergeCell ref="H6:H9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>
      <selection activeCell="A4" sqref="A4"/>
    </sheetView>
  </sheetViews>
  <sheetFormatPr baseColWidth="10" defaultColWidth="8.42578125" defaultRowHeight="12.75" customHeight="1" x14ac:dyDescent="0.2"/>
  <cols>
    <col min="1" max="1" width="21.7109375" style="20" customWidth="1"/>
    <col min="2" max="2" width="9.140625" style="20" customWidth="1"/>
    <col min="3" max="3" width="8" style="20" customWidth="1"/>
    <col min="4" max="7" width="7.7109375" style="20" customWidth="1"/>
    <col min="8" max="8" width="9.140625" style="20" customWidth="1"/>
    <col min="9" max="13" width="7.7109375" style="20" customWidth="1"/>
    <col min="14" max="14" width="6.7109375" style="20" customWidth="1"/>
    <col min="15" max="15" width="3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12.75" customHeight="1" x14ac:dyDescent="0.25">
      <c r="A3" s="68" t="s">
        <v>102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5">
      <c r="A4" s="71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ht="12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4" ht="14.7" customHeight="1" thickBot="1" x14ac:dyDescent="0.25">
      <c r="A6" s="80" t="s">
        <v>8</v>
      </c>
      <c r="B6" s="81" t="s">
        <v>90</v>
      </c>
      <c r="C6" s="47" t="s">
        <v>4</v>
      </c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4" ht="14.7" customHeight="1" thickBot="1" x14ac:dyDescent="0.25">
      <c r="A7" s="77"/>
      <c r="B7" s="77"/>
      <c r="C7" s="82" t="s">
        <v>85</v>
      </c>
      <c r="D7" s="77" t="s">
        <v>77</v>
      </c>
      <c r="E7" s="78"/>
      <c r="F7" s="78"/>
      <c r="G7" s="78"/>
      <c r="H7" s="82" t="s">
        <v>89</v>
      </c>
      <c r="I7" s="77" t="s">
        <v>77</v>
      </c>
      <c r="J7" s="78"/>
      <c r="K7" s="78"/>
      <c r="L7" s="78"/>
      <c r="M7" s="79"/>
    </row>
    <row r="8" spans="1:14" ht="14.7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4.7" customHeight="1" thickBot="1" x14ac:dyDescent="0.25">
      <c r="A9" s="77"/>
      <c r="B9" s="77"/>
      <c r="C9" s="77"/>
      <c r="D9" s="78"/>
      <c r="E9" s="78"/>
      <c r="F9" s="78"/>
      <c r="G9" s="78"/>
      <c r="H9" s="77"/>
      <c r="I9" s="78"/>
      <c r="J9" s="78"/>
      <c r="K9" s="78"/>
      <c r="L9" s="78"/>
      <c r="M9" s="79"/>
    </row>
    <row r="10" spans="1:14" ht="14.7" customHeight="1" thickBot="1" x14ac:dyDescent="0.25">
      <c r="A10" s="77"/>
      <c r="B10" s="77"/>
      <c r="C10" s="77"/>
      <c r="D10" s="61">
        <v>1</v>
      </c>
      <c r="E10" s="61">
        <v>2</v>
      </c>
      <c r="F10" s="61">
        <v>3</v>
      </c>
      <c r="G10" s="62">
        <v>4</v>
      </c>
      <c r="H10" s="77"/>
      <c r="I10" s="61">
        <v>5</v>
      </c>
      <c r="J10" s="61">
        <v>6</v>
      </c>
      <c r="K10" s="61">
        <v>7</v>
      </c>
      <c r="L10" s="61">
        <v>8</v>
      </c>
      <c r="M10" s="51" t="s">
        <v>21</v>
      </c>
    </row>
    <row r="11" spans="1:14" ht="12.75" customHeight="1" x14ac:dyDescent="0.2">
      <c r="A11" s="52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63" t="s">
        <v>76</v>
      </c>
    </row>
    <row r="12" spans="1:14" ht="12.75" customHeight="1" x14ac:dyDescent="0.2">
      <c r="A12" s="53" t="s">
        <v>22</v>
      </c>
      <c r="B12" s="54">
        <f>C12+H12</f>
        <v>165</v>
      </c>
      <c r="C12" s="54">
        <f>SUM(D12:G12)</f>
        <v>165</v>
      </c>
      <c r="D12" s="54">
        <v>45</v>
      </c>
      <c r="E12" s="54">
        <v>39</v>
      </c>
      <c r="F12" s="54">
        <v>41</v>
      </c>
      <c r="G12" s="21">
        <v>40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</row>
    <row r="13" spans="1:14" ht="12.75" customHeight="1" x14ac:dyDescent="0.2">
      <c r="A13" s="53" t="s">
        <v>23</v>
      </c>
      <c r="B13" s="54">
        <f>C13+H13</f>
        <v>1129</v>
      </c>
      <c r="C13" s="54">
        <f>SUM(D13:G13)</f>
        <v>948</v>
      </c>
      <c r="D13" s="54">
        <v>219</v>
      </c>
      <c r="E13" s="54">
        <v>252</v>
      </c>
      <c r="F13" s="54">
        <v>239</v>
      </c>
      <c r="G13" s="21">
        <v>238</v>
      </c>
      <c r="H13" s="54">
        <f>I13+J13+K13+L13+M13</f>
        <v>181</v>
      </c>
      <c r="I13" s="54">
        <v>22</v>
      </c>
      <c r="J13" s="54">
        <v>26</v>
      </c>
      <c r="K13" s="54">
        <v>22</v>
      </c>
      <c r="L13" s="54">
        <v>32</v>
      </c>
      <c r="M13" s="54">
        <v>79</v>
      </c>
    </row>
    <row r="14" spans="1:14" ht="12.75" customHeight="1" x14ac:dyDescent="0.2">
      <c r="A14" s="53" t="s">
        <v>24</v>
      </c>
      <c r="B14" s="54">
        <f>C14+H14</f>
        <v>1706</v>
      </c>
      <c r="C14" s="54">
        <f>SUM(D14:G14)</f>
        <v>1222</v>
      </c>
      <c r="D14" s="21">
        <v>317</v>
      </c>
      <c r="E14" s="21">
        <v>306</v>
      </c>
      <c r="F14" s="21">
        <v>325</v>
      </c>
      <c r="G14" s="21">
        <v>274</v>
      </c>
      <c r="H14" s="54">
        <f>I14+J14+K14+L14+M14</f>
        <v>484</v>
      </c>
      <c r="I14" s="21">
        <v>52</v>
      </c>
      <c r="J14" s="21">
        <v>86</v>
      </c>
      <c r="K14" s="21">
        <v>108</v>
      </c>
      <c r="L14" s="21">
        <v>105</v>
      </c>
      <c r="M14" s="21">
        <v>133</v>
      </c>
      <c r="N14" s="54"/>
    </row>
    <row r="15" spans="1:14" ht="12.75" customHeight="1" x14ac:dyDescent="0.2">
      <c r="A15" s="53" t="s">
        <v>25</v>
      </c>
      <c r="B15" s="54">
        <f>C15+H15</f>
        <v>1217</v>
      </c>
      <c r="C15" s="54">
        <f>SUM(D15:G15)</f>
        <v>868</v>
      </c>
      <c r="D15" s="21">
        <v>217</v>
      </c>
      <c r="E15" s="21">
        <v>224</v>
      </c>
      <c r="F15" s="21">
        <v>238</v>
      </c>
      <c r="G15" s="21">
        <v>189</v>
      </c>
      <c r="H15" s="54">
        <f>I15+J15+K15+L15+M15</f>
        <v>349</v>
      </c>
      <c r="I15" s="21">
        <v>30</v>
      </c>
      <c r="J15" s="21">
        <v>64</v>
      </c>
      <c r="K15" s="21">
        <v>51</v>
      </c>
      <c r="L15" s="21">
        <v>67</v>
      </c>
      <c r="M15" s="21">
        <v>137</v>
      </c>
    </row>
    <row r="16" spans="1:14" ht="12.75" customHeight="1" x14ac:dyDescent="0.2">
      <c r="A16" s="53" t="s">
        <v>26</v>
      </c>
      <c r="B16" s="54">
        <f>C16+H16</f>
        <v>1136</v>
      </c>
      <c r="C16" s="54">
        <f>SUM(D16:G16)</f>
        <v>825</v>
      </c>
      <c r="D16" s="21">
        <v>200</v>
      </c>
      <c r="E16" s="21">
        <v>191</v>
      </c>
      <c r="F16" s="21">
        <v>202</v>
      </c>
      <c r="G16" s="21">
        <v>232</v>
      </c>
      <c r="H16" s="54">
        <f>I16+J16+K16+L16+M16</f>
        <v>311</v>
      </c>
      <c r="I16" s="21">
        <v>33</v>
      </c>
      <c r="J16" s="21">
        <v>59</v>
      </c>
      <c r="K16" s="21">
        <v>58</v>
      </c>
      <c r="L16" s="21">
        <v>55</v>
      </c>
      <c r="M16" s="21">
        <v>106</v>
      </c>
    </row>
    <row r="17" spans="1:14" ht="12.75" customHeight="1" x14ac:dyDescent="0.2">
      <c r="A17" s="55" t="s">
        <v>27</v>
      </c>
      <c r="B17" s="54">
        <f t="shared" ref="B17:M17" si="0">SUM(B12:B16)</f>
        <v>5353</v>
      </c>
      <c r="C17" s="54">
        <f t="shared" si="0"/>
        <v>4028</v>
      </c>
      <c r="D17" s="54">
        <f t="shared" si="0"/>
        <v>998</v>
      </c>
      <c r="E17" s="54">
        <f t="shared" si="0"/>
        <v>1012</v>
      </c>
      <c r="F17" s="54">
        <f t="shared" si="0"/>
        <v>1045</v>
      </c>
      <c r="G17" s="54">
        <f t="shared" si="0"/>
        <v>973</v>
      </c>
      <c r="H17" s="54">
        <f t="shared" si="0"/>
        <v>1325</v>
      </c>
      <c r="I17" s="54">
        <f t="shared" si="0"/>
        <v>137</v>
      </c>
      <c r="J17" s="54">
        <f t="shared" si="0"/>
        <v>235</v>
      </c>
      <c r="K17" s="54">
        <f t="shared" si="0"/>
        <v>239</v>
      </c>
      <c r="L17" s="54">
        <f t="shared" si="0"/>
        <v>259</v>
      </c>
      <c r="M17" s="54">
        <f t="shared" si="0"/>
        <v>455</v>
      </c>
    </row>
    <row r="18" spans="1:14" ht="6" customHeight="1" x14ac:dyDescent="0.2">
      <c r="A18" s="53"/>
      <c r="B18" s="54"/>
      <c r="C18" s="54"/>
      <c r="H18" s="54"/>
    </row>
    <row r="19" spans="1:14" ht="12.75" customHeight="1" x14ac:dyDescent="0.2">
      <c r="A19" s="53" t="s">
        <v>28</v>
      </c>
      <c r="B19" s="54">
        <f t="shared" ref="B19:B36" si="1">C19+H19</f>
        <v>2811</v>
      </c>
      <c r="C19" s="54">
        <f t="shared" ref="C19:C36" si="2">SUM(D19:G19)</f>
        <v>2216</v>
      </c>
      <c r="D19" s="54">
        <v>576</v>
      </c>
      <c r="E19" s="54">
        <v>554</v>
      </c>
      <c r="F19" s="54">
        <v>535</v>
      </c>
      <c r="G19" s="21">
        <v>551</v>
      </c>
      <c r="H19" s="54">
        <f>I19+J19+K19+L19+M19</f>
        <v>595</v>
      </c>
      <c r="I19" s="54">
        <v>60</v>
      </c>
      <c r="J19" s="54">
        <v>116</v>
      </c>
      <c r="K19" s="54">
        <v>103</v>
      </c>
      <c r="L19" s="54">
        <v>107</v>
      </c>
      <c r="M19" s="54">
        <v>209</v>
      </c>
    </row>
    <row r="20" spans="1:14" ht="12.75" customHeight="1" x14ac:dyDescent="0.2">
      <c r="A20" s="53" t="s">
        <v>29</v>
      </c>
      <c r="B20" s="54">
        <f t="shared" si="1"/>
        <v>238</v>
      </c>
      <c r="C20" s="54">
        <f t="shared" si="2"/>
        <v>238</v>
      </c>
      <c r="D20" s="54">
        <v>64</v>
      </c>
      <c r="E20" s="54">
        <v>64</v>
      </c>
      <c r="F20" s="54">
        <v>48</v>
      </c>
      <c r="G20" s="21">
        <v>62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</row>
    <row r="21" spans="1:14" ht="12.75" customHeight="1" x14ac:dyDescent="0.2">
      <c r="A21" s="53" t="s">
        <v>30</v>
      </c>
      <c r="B21" s="54">
        <f t="shared" si="1"/>
        <v>387</v>
      </c>
      <c r="C21" s="54">
        <f t="shared" si="2"/>
        <v>387</v>
      </c>
      <c r="D21" s="54">
        <v>92</v>
      </c>
      <c r="E21" s="54">
        <v>105</v>
      </c>
      <c r="F21" s="54">
        <v>97</v>
      </c>
      <c r="G21" s="21">
        <v>93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</row>
    <row r="22" spans="1:14" ht="12.75" customHeight="1" x14ac:dyDescent="0.2">
      <c r="A22" s="53" t="s">
        <v>31</v>
      </c>
      <c r="B22" s="54">
        <f t="shared" si="1"/>
        <v>612</v>
      </c>
      <c r="C22" s="54">
        <f t="shared" si="2"/>
        <v>576</v>
      </c>
      <c r="D22" s="54">
        <v>138</v>
      </c>
      <c r="E22" s="54">
        <v>151</v>
      </c>
      <c r="F22" s="54">
        <v>135</v>
      </c>
      <c r="G22" s="21">
        <v>152</v>
      </c>
      <c r="H22" s="54">
        <f t="shared" ref="H22:H27" si="3">SUM(I22:M22)</f>
        <v>36</v>
      </c>
      <c r="I22" s="54">
        <v>0</v>
      </c>
      <c r="J22" s="54">
        <v>0</v>
      </c>
      <c r="K22" s="54">
        <v>16</v>
      </c>
      <c r="L22" s="54">
        <v>13</v>
      </c>
      <c r="M22" s="54">
        <v>7</v>
      </c>
    </row>
    <row r="23" spans="1:14" ht="12.75" customHeight="1" x14ac:dyDescent="0.2">
      <c r="A23" s="53" t="s">
        <v>32</v>
      </c>
      <c r="B23" s="54">
        <f t="shared" si="1"/>
        <v>1040</v>
      </c>
      <c r="C23" s="54">
        <f t="shared" si="2"/>
        <v>762</v>
      </c>
      <c r="D23" s="54">
        <v>183</v>
      </c>
      <c r="E23" s="54">
        <v>175</v>
      </c>
      <c r="F23" s="54">
        <v>207</v>
      </c>
      <c r="G23" s="21">
        <v>197</v>
      </c>
      <c r="H23" s="54">
        <f t="shared" si="3"/>
        <v>278</v>
      </c>
      <c r="I23" s="54">
        <v>34</v>
      </c>
      <c r="J23" s="54">
        <v>41</v>
      </c>
      <c r="K23" s="54">
        <v>53</v>
      </c>
      <c r="L23" s="54">
        <v>41</v>
      </c>
      <c r="M23" s="54">
        <v>109</v>
      </c>
      <c r="N23" s="54"/>
    </row>
    <row r="24" spans="1:14" ht="12.75" customHeight="1" x14ac:dyDescent="0.2">
      <c r="A24" s="53" t="s">
        <v>33</v>
      </c>
      <c r="B24" s="54">
        <f t="shared" si="1"/>
        <v>435</v>
      </c>
      <c r="C24" s="54">
        <f t="shared" si="2"/>
        <v>257</v>
      </c>
      <c r="D24" s="54">
        <v>68</v>
      </c>
      <c r="E24" s="54">
        <v>71</v>
      </c>
      <c r="F24" s="54">
        <v>59</v>
      </c>
      <c r="G24" s="21">
        <v>59</v>
      </c>
      <c r="H24" s="54">
        <f t="shared" si="3"/>
        <v>178</v>
      </c>
      <c r="I24" s="54">
        <v>15</v>
      </c>
      <c r="J24" s="54">
        <v>22</v>
      </c>
      <c r="K24" s="54">
        <v>32</v>
      </c>
      <c r="L24" s="54">
        <v>37</v>
      </c>
      <c r="M24" s="54">
        <v>72</v>
      </c>
      <c r="N24" s="54"/>
    </row>
    <row r="25" spans="1:14" ht="12.75" customHeight="1" x14ac:dyDescent="0.2">
      <c r="A25" s="53" t="s">
        <v>34</v>
      </c>
      <c r="B25" s="54">
        <f t="shared" si="1"/>
        <v>860</v>
      </c>
      <c r="C25" s="54">
        <f t="shared" si="2"/>
        <v>654</v>
      </c>
      <c r="D25" s="54">
        <v>148</v>
      </c>
      <c r="E25" s="54">
        <v>176</v>
      </c>
      <c r="F25" s="54">
        <v>149</v>
      </c>
      <c r="G25" s="21">
        <v>181</v>
      </c>
      <c r="H25" s="54">
        <f t="shared" si="3"/>
        <v>206</v>
      </c>
      <c r="I25" s="54">
        <v>23</v>
      </c>
      <c r="J25" s="54">
        <v>23</v>
      </c>
      <c r="K25" s="54">
        <v>34</v>
      </c>
      <c r="L25" s="54">
        <v>27</v>
      </c>
      <c r="M25" s="54">
        <v>99</v>
      </c>
    </row>
    <row r="26" spans="1:14" ht="12.75" customHeight="1" x14ac:dyDescent="0.2">
      <c r="A26" s="53" t="s">
        <v>35</v>
      </c>
      <c r="B26" s="54">
        <f t="shared" si="1"/>
        <v>1147</v>
      </c>
      <c r="C26" s="54">
        <f t="shared" si="2"/>
        <v>780</v>
      </c>
      <c r="D26" s="54">
        <v>184</v>
      </c>
      <c r="E26" s="54">
        <v>211</v>
      </c>
      <c r="F26" s="54">
        <v>207</v>
      </c>
      <c r="G26" s="21">
        <v>178</v>
      </c>
      <c r="H26" s="54">
        <f t="shared" si="3"/>
        <v>367</v>
      </c>
      <c r="I26" s="54">
        <v>37</v>
      </c>
      <c r="J26" s="54">
        <v>60</v>
      </c>
      <c r="K26" s="54">
        <v>75</v>
      </c>
      <c r="L26" s="54">
        <v>79</v>
      </c>
      <c r="M26" s="54">
        <v>116</v>
      </c>
    </row>
    <row r="27" spans="1:14" ht="12.75" customHeight="1" x14ac:dyDescent="0.2">
      <c r="A27" s="53" t="s">
        <v>36</v>
      </c>
      <c r="B27" s="54">
        <f t="shared" si="1"/>
        <v>365</v>
      </c>
      <c r="C27" s="54">
        <f t="shared" si="2"/>
        <v>173</v>
      </c>
      <c r="D27" s="54">
        <v>61</v>
      </c>
      <c r="E27" s="54">
        <v>27</v>
      </c>
      <c r="F27" s="54">
        <v>48</v>
      </c>
      <c r="G27" s="21">
        <v>37</v>
      </c>
      <c r="H27" s="54">
        <f t="shared" si="3"/>
        <v>192</v>
      </c>
      <c r="I27" s="54">
        <v>22</v>
      </c>
      <c r="J27" s="54">
        <v>26</v>
      </c>
      <c r="K27" s="54">
        <v>42</v>
      </c>
      <c r="L27" s="54">
        <v>36</v>
      </c>
      <c r="M27" s="54">
        <v>66</v>
      </c>
    </row>
    <row r="28" spans="1:14" ht="12.75" customHeight="1" x14ac:dyDescent="0.2">
      <c r="A28" s="53" t="s">
        <v>37</v>
      </c>
      <c r="B28" s="54">
        <f t="shared" si="1"/>
        <v>304</v>
      </c>
      <c r="C28" s="54">
        <f t="shared" si="2"/>
        <v>304</v>
      </c>
      <c r="D28" s="54">
        <v>75</v>
      </c>
      <c r="E28" s="54">
        <v>87</v>
      </c>
      <c r="F28" s="54">
        <v>63</v>
      </c>
      <c r="G28" s="21">
        <v>79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</row>
    <row r="29" spans="1:14" ht="12.75" customHeight="1" x14ac:dyDescent="0.2">
      <c r="A29" s="53" t="s">
        <v>38</v>
      </c>
      <c r="B29" s="54">
        <f t="shared" si="1"/>
        <v>422</v>
      </c>
      <c r="C29" s="54">
        <f t="shared" si="2"/>
        <v>325</v>
      </c>
      <c r="D29" s="54">
        <v>96</v>
      </c>
      <c r="E29" s="54">
        <v>77</v>
      </c>
      <c r="F29" s="54">
        <v>68</v>
      </c>
      <c r="G29" s="21">
        <v>84</v>
      </c>
      <c r="H29" s="54">
        <f t="shared" ref="H29:H36" si="4">SUM(I29:M29)</f>
        <v>97</v>
      </c>
      <c r="I29" s="54">
        <v>12</v>
      </c>
      <c r="J29" s="54">
        <v>21</v>
      </c>
      <c r="K29" s="54">
        <v>20</v>
      </c>
      <c r="L29" s="54">
        <v>20</v>
      </c>
      <c r="M29" s="54">
        <v>24</v>
      </c>
    </row>
    <row r="30" spans="1:14" ht="12.75" customHeight="1" x14ac:dyDescent="0.2">
      <c r="A30" s="53" t="s">
        <v>39</v>
      </c>
      <c r="B30" s="54">
        <f t="shared" si="1"/>
        <v>1062</v>
      </c>
      <c r="C30" s="54">
        <f t="shared" si="2"/>
        <v>943</v>
      </c>
      <c r="D30" s="54">
        <v>227</v>
      </c>
      <c r="E30" s="54">
        <v>237</v>
      </c>
      <c r="F30" s="54">
        <v>259</v>
      </c>
      <c r="G30" s="21">
        <v>220</v>
      </c>
      <c r="H30" s="54">
        <f t="shared" si="4"/>
        <v>119</v>
      </c>
      <c r="I30" s="54">
        <v>7</v>
      </c>
      <c r="J30" s="54">
        <v>22</v>
      </c>
      <c r="K30" s="54">
        <v>20</v>
      </c>
      <c r="L30" s="54">
        <v>16</v>
      </c>
      <c r="M30" s="54">
        <v>54</v>
      </c>
    </row>
    <row r="31" spans="1:14" ht="12.75" customHeight="1" x14ac:dyDescent="0.2">
      <c r="A31" s="53" t="s">
        <v>40</v>
      </c>
      <c r="B31" s="54">
        <f t="shared" si="1"/>
        <v>387</v>
      </c>
      <c r="C31" s="54">
        <f t="shared" si="2"/>
        <v>327</v>
      </c>
      <c r="D31" s="54">
        <v>90</v>
      </c>
      <c r="E31" s="54">
        <v>80</v>
      </c>
      <c r="F31" s="54">
        <v>82</v>
      </c>
      <c r="G31" s="21">
        <v>75</v>
      </c>
      <c r="H31" s="54">
        <f t="shared" si="4"/>
        <v>60</v>
      </c>
      <c r="I31" s="54">
        <v>0</v>
      </c>
      <c r="J31" s="54">
        <v>10</v>
      </c>
      <c r="K31" s="54">
        <v>9</v>
      </c>
      <c r="L31" s="54">
        <v>19</v>
      </c>
      <c r="M31" s="54">
        <v>22</v>
      </c>
    </row>
    <row r="32" spans="1:14" ht="12.75" customHeight="1" x14ac:dyDescent="0.2">
      <c r="A32" s="53" t="s">
        <v>41</v>
      </c>
      <c r="B32" s="54">
        <f t="shared" si="1"/>
        <v>641</v>
      </c>
      <c r="C32" s="54">
        <f t="shared" si="2"/>
        <v>508</v>
      </c>
      <c r="D32" s="54">
        <v>123</v>
      </c>
      <c r="E32" s="54">
        <v>136</v>
      </c>
      <c r="F32" s="54">
        <v>128</v>
      </c>
      <c r="G32" s="21">
        <v>121</v>
      </c>
      <c r="H32" s="54">
        <f t="shared" si="4"/>
        <v>133</v>
      </c>
      <c r="I32" s="54">
        <v>7</v>
      </c>
      <c r="J32" s="54">
        <v>17</v>
      </c>
      <c r="K32" s="54">
        <v>31</v>
      </c>
      <c r="L32" s="54">
        <v>37</v>
      </c>
      <c r="M32" s="54">
        <v>41</v>
      </c>
    </row>
    <row r="33" spans="1:14" ht="12.75" customHeight="1" x14ac:dyDescent="0.2">
      <c r="A33" s="53" t="s">
        <v>42</v>
      </c>
      <c r="B33" s="54">
        <f t="shared" si="1"/>
        <v>1584</v>
      </c>
      <c r="C33" s="54">
        <f t="shared" si="2"/>
        <v>1308</v>
      </c>
      <c r="D33" s="54">
        <v>344</v>
      </c>
      <c r="E33" s="54">
        <v>354</v>
      </c>
      <c r="F33" s="54">
        <v>307</v>
      </c>
      <c r="G33" s="21">
        <v>303</v>
      </c>
      <c r="H33" s="54">
        <f t="shared" si="4"/>
        <v>276</v>
      </c>
      <c r="I33" s="54">
        <v>32</v>
      </c>
      <c r="J33" s="54">
        <v>50</v>
      </c>
      <c r="K33" s="54">
        <v>61</v>
      </c>
      <c r="L33" s="54">
        <v>48</v>
      </c>
      <c r="M33" s="54">
        <v>85</v>
      </c>
      <c r="N33" s="54"/>
    </row>
    <row r="34" spans="1:14" ht="12.75" customHeight="1" x14ac:dyDescent="0.2">
      <c r="A34" s="53" t="s">
        <v>43</v>
      </c>
      <c r="B34" s="54">
        <f t="shared" si="1"/>
        <v>400</v>
      </c>
      <c r="C34" s="54">
        <f t="shared" si="2"/>
        <v>269</v>
      </c>
      <c r="D34" s="54">
        <v>68</v>
      </c>
      <c r="E34" s="54">
        <v>68</v>
      </c>
      <c r="F34" s="54">
        <v>76</v>
      </c>
      <c r="G34" s="21">
        <v>57</v>
      </c>
      <c r="H34" s="54">
        <f t="shared" si="4"/>
        <v>131</v>
      </c>
      <c r="I34" s="54">
        <v>16</v>
      </c>
      <c r="J34" s="54">
        <v>13</v>
      </c>
      <c r="K34" s="54">
        <v>27</v>
      </c>
      <c r="L34" s="54">
        <v>35</v>
      </c>
      <c r="M34" s="54">
        <v>40</v>
      </c>
    </row>
    <row r="35" spans="1:14" ht="12.75" customHeight="1" x14ac:dyDescent="0.2">
      <c r="A35" s="53" t="s">
        <v>44</v>
      </c>
      <c r="B35" s="54">
        <f t="shared" si="1"/>
        <v>1480</v>
      </c>
      <c r="C35" s="54">
        <f t="shared" si="2"/>
        <v>1167</v>
      </c>
      <c r="D35" s="54">
        <v>289</v>
      </c>
      <c r="E35" s="54">
        <v>304</v>
      </c>
      <c r="F35" s="54">
        <v>307</v>
      </c>
      <c r="G35" s="21">
        <v>267</v>
      </c>
      <c r="H35" s="54">
        <f t="shared" si="4"/>
        <v>313</v>
      </c>
      <c r="I35" s="54">
        <v>41</v>
      </c>
      <c r="J35" s="54">
        <v>55</v>
      </c>
      <c r="K35" s="54">
        <v>57</v>
      </c>
      <c r="L35" s="54">
        <v>52</v>
      </c>
      <c r="M35" s="54">
        <v>108</v>
      </c>
    </row>
    <row r="36" spans="1:14" ht="12.75" customHeight="1" x14ac:dyDescent="0.2">
      <c r="A36" s="53" t="s">
        <v>45</v>
      </c>
      <c r="B36" s="54">
        <f t="shared" si="1"/>
        <v>1719</v>
      </c>
      <c r="C36" s="54">
        <f t="shared" si="2"/>
        <v>1280</v>
      </c>
      <c r="D36" s="54">
        <v>339</v>
      </c>
      <c r="E36" s="54">
        <v>309</v>
      </c>
      <c r="F36" s="54">
        <v>314</v>
      </c>
      <c r="G36" s="21">
        <v>318</v>
      </c>
      <c r="H36" s="54">
        <f t="shared" si="4"/>
        <v>439</v>
      </c>
      <c r="I36" s="54">
        <v>46</v>
      </c>
      <c r="J36" s="54">
        <v>83</v>
      </c>
      <c r="K36" s="54">
        <v>87</v>
      </c>
      <c r="L36" s="54">
        <v>83</v>
      </c>
      <c r="M36" s="54">
        <v>140</v>
      </c>
    </row>
    <row r="37" spans="1:14" ht="12.75" customHeight="1" x14ac:dyDescent="0.2">
      <c r="A37" s="55" t="s">
        <v>46</v>
      </c>
      <c r="B37" s="54">
        <f t="shared" ref="B37:M37" si="5">SUM(B19:B36)</f>
        <v>15894</v>
      </c>
      <c r="C37" s="54">
        <f t="shared" si="5"/>
        <v>12474</v>
      </c>
      <c r="D37" s="54">
        <f t="shared" si="5"/>
        <v>3165</v>
      </c>
      <c r="E37" s="54">
        <f t="shared" si="5"/>
        <v>3186</v>
      </c>
      <c r="F37" s="54">
        <f t="shared" si="5"/>
        <v>3089</v>
      </c>
      <c r="G37" s="54">
        <f t="shared" si="5"/>
        <v>3034</v>
      </c>
      <c r="H37" s="54">
        <f t="shared" si="5"/>
        <v>3420</v>
      </c>
      <c r="I37" s="54">
        <f t="shared" si="5"/>
        <v>352</v>
      </c>
      <c r="J37" s="54">
        <f t="shared" si="5"/>
        <v>559</v>
      </c>
      <c r="K37" s="54">
        <f t="shared" si="5"/>
        <v>667</v>
      </c>
      <c r="L37" s="54">
        <f t="shared" si="5"/>
        <v>650</v>
      </c>
      <c r="M37" s="54">
        <f t="shared" si="5"/>
        <v>1192</v>
      </c>
    </row>
    <row r="38" spans="1:14" ht="6" customHeight="1" x14ac:dyDescent="0.2">
      <c r="A38" s="53"/>
      <c r="B38" s="54"/>
      <c r="C38" s="54"/>
      <c r="H38" s="54"/>
    </row>
    <row r="39" spans="1:14" ht="12.75" customHeight="1" x14ac:dyDescent="0.2">
      <c r="A39" s="55" t="s">
        <v>47</v>
      </c>
      <c r="B39" s="56">
        <f t="shared" ref="B39:M39" si="6">+B17+B37</f>
        <v>21247</v>
      </c>
      <c r="C39" s="56">
        <f t="shared" si="6"/>
        <v>16502</v>
      </c>
      <c r="D39" s="56">
        <f t="shared" si="6"/>
        <v>4163</v>
      </c>
      <c r="E39" s="56">
        <f t="shared" si="6"/>
        <v>4198</v>
      </c>
      <c r="F39" s="56">
        <f t="shared" si="6"/>
        <v>4134</v>
      </c>
      <c r="G39" s="56">
        <f t="shared" si="6"/>
        <v>4007</v>
      </c>
      <c r="H39" s="56">
        <f t="shared" si="6"/>
        <v>4745</v>
      </c>
      <c r="I39" s="56">
        <f t="shared" si="6"/>
        <v>489</v>
      </c>
      <c r="J39" s="56">
        <f t="shared" si="6"/>
        <v>794</v>
      </c>
      <c r="K39" s="56">
        <f t="shared" si="6"/>
        <v>906</v>
      </c>
      <c r="L39" s="56">
        <f t="shared" si="6"/>
        <v>909</v>
      </c>
      <c r="M39" s="56">
        <f t="shared" si="6"/>
        <v>1647</v>
      </c>
    </row>
    <row r="40" spans="1:14" s="66" customFormat="1" ht="12.75" customHeight="1" x14ac:dyDescent="0.25">
      <c r="A40" s="64" t="s">
        <v>75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1:14" ht="12.75" customHeight="1" x14ac:dyDescent="0.2">
      <c r="A41" s="59" t="s">
        <v>83</v>
      </c>
      <c r="B41" s="58"/>
      <c r="C41" s="58"/>
      <c r="D41" s="58"/>
    </row>
    <row r="42" spans="1:14" ht="6" customHeight="1" x14ac:dyDescent="0.2">
      <c r="A42" s="58"/>
      <c r="B42" s="58"/>
      <c r="C42" s="58"/>
      <c r="D42" s="58"/>
    </row>
    <row r="43" spans="1:14" ht="12.75" customHeight="1" x14ac:dyDescent="0.2">
      <c r="A43" s="60" t="s">
        <v>78</v>
      </c>
      <c r="B43" s="58"/>
      <c r="C43" s="58"/>
      <c r="D43" s="58"/>
    </row>
    <row r="65" spans="1:1" ht="10.199999999999999" x14ac:dyDescent="0.2">
      <c r="A65" s="45"/>
    </row>
    <row r="66" spans="1:1" ht="10.199999999999999" x14ac:dyDescent="0.2"/>
  </sheetData>
  <mergeCells count="6">
    <mergeCell ref="I7:M9"/>
    <mergeCell ref="A6:A10"/>
    <mergeCell ref="B6:B10"/>
    <mergeCell ref="C7:C10"/>
    <mergeCell ref="D7:G9"/>
    <mergeCell ref="H7:H1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>
      <selection activeCell="A4" sqref="A4"/>
    </sheetView>
  </sheetViews>
  <sheetFormatPr baseColWidth="10" defaultColWidth="8.42578125" defaultRowHeight="12.75" customHeight="1" x14ac:dyDescent="0.2"/>
  <cols>
    <col min="1" max="1" width="21.7109375" style="20" customWidth="1"/>
    <col min="2" max="12" width="8" style="20" customWidth="1"/>
    <col min="13" max="13" width="8.28515625" style="20" customWidth="1"/>
    <col min="14" max="14" width="6.7109375" style="20" customWidth="1"/>
    <col min="15" max="15" width="3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12.75" customHeight="1" x14ac:dyDescent="0.25">
      <c r="A3" s="68" t="s">
        <v>103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5">
      <c r="A4" s="67" t="s">
        <v>81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ht="12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4" ht="12.75" customHeight="1" thickBot="1" x14ac:dyDescent="0.25">
      <c r="A6" s="80" t="s">
        <v>8</v>
      </c>
      <c r="B6" s="80" t="s">
        <v>82</v>
      </c>
      <c r="C6" s="47" t="s">
        <v>4</v>
      </c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4" ht="12.75" customHeight="1" thickBot="1" x14ac:dyDescent="0.25">
      <c r="A7" s="77"/>
      <c r="B7" s="77"/>
      <c r="C7" s="82" t="s">
        <v>85</v>
      </c>
      <c r="D7" s="77" t="s">
        <v>77</v>
      </c>
      <c r="E7" s="78"/>
      <c r="F7" s="78"/>
      <c r="G7" s="78"/>
      <c r="H7" s="82" t="s">
        <v>88</v>
      </c>
      <c r="I7" s="77" t="s">
        <v>77</v>
      </c>
      <c r="J7" s="78"/>
      <c r="K7" s="78"/>
      <c r="L7" s="78"/>
      <c r="M7" s="79"/>
    </row>
    <row r="8" spans="1:14" ht="12.75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2.75" customHeight="1" thickBot="1" x14ac:dyDescent="0.25">
      <c r="A9" s="77"/>
      <c r="B9" s="77"/>
      <c r="C9" s="77"/>
      <c r="D9" s="78"/>
      <c r="E9" s="78"/>
      <c r="F9" s="78"/>
      <c r="G9" s="78"/>
      <c r="H9" s="77"/>
      <c r="I9" s="78"/>
      <c r="J9" s="78"/>
      <c r="K9" s="78"/>
      <c r="L9" s="78"/>
      <c r="M9" s="79"/>
    </row>
    <row r="10" spans="1:14" ht="12.75" customHeight="1" thickBot="1" x14ac:dyDescent="0.25">
      <c r="A10" s="77"/>
      <c r="B10" s="77"/>
      <c r="C10" s="77"/>
      <c r="D10" s="61">
        <v>1</v>
      </c>
      <c r="E10" s="61">
        <v>2</v>
      </c>
      <c r="F10" s="61">
        <v>3</v>
      </c>
      <c r="G10" s="62">
        <v>4</v>
      </c>
      <c r="H10" s="77"/>
      <c r="I10" s="61">
        <v>5</v>
      </c>
      <c r="J10" s="61">
        <v>6</v>
      </c>
      <c r="K10" s="61">
        <v>7</v>
      </c>
      <c r="L10" s="61">
        <v>8</v>
      </c>
      <c r="M10" s="51" t="s">
        <v>21</v>
      </c>
    </row>
    <row r="11" spans="1:14" ht="12.75" customHeight="1" x14ac:dyDescent="0.2">
      <c r="A11" s="52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63" t="s">
        <v>76</v>
      </c>
    </row>
    <row r="12" spans="1:14" ht="12.75" customHeight="1" x14ac:dyDescent="0.2">
      <c r="A12" s="53" t="s">
        <v>22</v>
      </c>
      <c r="B12" s="54">
        <f>C12+H12</f>
        <v>168</v>
      </c>
      <c r="C12" s="54">
        <f>SUM(D12:G12)</f>
        <v>168</v>
      </c>
      <c r="D12" s="54">
        <v>40</v>
      </c>
      <c r="E12" s="54">
        <v>42</v>
      </c>
      <c r="F12" s="54">
        <v>40</v>
      </c>
      <c r="G12" s="54">
        <v>46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4" ht="12.75" customHeight="1" x14ac:dyDescent="0.2">
      <c r="A13" s="53" t="s">
        <v>23</v>
      </c>
      <c r="B13" s="54">
        <f>C13+H13</f>
        <v>1111</v>
      </c>
      <c r="C13" s="54">
        <f>SUM(D13:G13)</f>
        <v>967</v>
      </c>
      <c r="D13" s="54">
        <v>255</v>
      </c>
      <c r="E13" s="54">
        <v>237</v>
      </c>
      <c r="F13" s="54">
        <v>237</v>
      </c>
      <c r="G13" s="54">
        <v>238</v>
      </c>
      <c r="H13" s="54">
        <f>I13+J13+K13+L13+M13</f>
        <v>144</v>
      </c>
      <c r="I13" s="54">
        <v>25</v>
      </c>
      <c r="J13" s="54">
        <v>18</v>
      </c>
      <c r="K13" s="54">
        <v>32</v>
      </c>
      <c r="L13" s="54">
        <v>35</v>
      </c>
      <c r="M13" s="54">
        <v>34</v>
      </c>
    </row>
    <row r="14" spans="1:14" ht="12.75" customHeight="1" x14ac:dyDescent="0.2">
      <c r="A14" s="53" t="s">
        <v>24</v>
      </c>
      <c r="B14" s="54">
        <f>C14+H14</f>
        <v>1722</v>
      </c>
      <c r="C14" s="54">
        <f>SUM(D14:G14)</f>
        <v>1230</v>
      </c>
      <c r="D14" s="54">
        <v>308</v>
      </c>
      <c r="E14" s="54">
        <v>325</v>
      </c>
      <c r="F14" s="54">
        <f>284+12</f>
        <v>296</v>
      </c>
      <c r="G14" s="54">
        <f>289+12</f>
        <v>301</v>
      </c>
      <c r="H14" s="54">
        <f>I14+J14+K14+L14+M14</f>
        <v>492</v>
      </c>
      <c r="I14" s="54">
        <v>89</v>
      </c>
      <c r="J14" s="54">
        <v>107</v>
      </c>
      <c r="K14" s="54">
        <v>101</v>
      </c>
      <c r="L14" s="54">
        <v>94</v>
      </c>
      <c r="M14" s="54">
        <f>92+9</f>
        <v>101</v>
      </c>
      <c r="N14" s="54"/>
    </row>
    <row r="15" spans="1:14" ht="12.75" customHeight="1" x14ac:dyDescent="0.2">
      <c r="A15" s="53" t="s">
        <v>25</v>
      </c>
      <c r="B15" s="54">
        <f>C15+H15</f>
        <v>1227</v>
      </c>
      <c r="C15" s="54">
        <f>SUM(D15:G15)</f>
        <v>887</v>
      </c>
      <c r="D15" s="54">
        <f>175+53</f>
        <v>228</v>
      </c>
      <c r="E15" s="54">
        <f>204+32</f>
        <v>236</v>
      </c>
      <c r="F15" s="54">
        <f>161+43</f>
        <v>204</v>
      </c>
      <c r="G15" s="54">
        <f>178+41</f>
        <v>219</v>
      </c>
      <c r="H15" s="54">
        <f>I15+J15+K15+L15+M15</f>
        <v>340</v>
      </c>
      <c r="I15" s="21">
        <v>68</v>
      </c>
      <c r="J15" s="21">
        <v>42</v>
      </c>
      <c r="K15" s="21">
        <v>62</v>
      </c>
      <c r="L15" s="21">
        <v>76</v>
      </c>
      <c r="M15" s="21">
        <f>66+26</f>
        <v>92</v>
      </c>
    </row>
    <row r="16" spans="1:14" ht="12.75" customHeight="1" x14ac:dyDescent="0.2">
      <c r="A16" s="53" t="s">
        <v>26</v>
      </c>
      <c r="B16" s="54">
        <f>C16+H16</f>
        <v>1177</v>
      </c>
      <c r="C16" s="54">
        <f>SUM(D16:G16)</f>
        <v>819</v>
      </c>
      <c r="D16" s="54">
        <v>195</v>
      </c>
      <c r="E16" s="54">
        <v>206</v>
      </c>
      <c r="F16" s="54">
        <v>229</v>
      </c>
      <c r="G16" s="54">
        <v>189</v>
      </c>
      <c r="H16" s="54">
        <f>I16+J16+K16+L16+M16</f>
        <v>358</v>
      </c>
      <c r="I16" s="20">
        <v>57</v>
      </c>
      <c r="J16" s="20">
        <v>53</v>
      </c>
      <c r="K16" s="20">
        <v>46</v>
      </c>
      <c r="L16" s="20">
        <v>63</v>
      </c>
      <c r="M16" s="20">
        <f>25+72+42</f>
        <v>139</v>
      </c>
    </row>
    <row r="17" spans="1:14" ht="12.75" customHeight="1" x14ac:dyDescent="0.2">
      <c r="A17" s="55" t="s">
        <v>27</v>
      </c>
      <c r="B17" s="54">
        <f t="shared" ref="B17:M17" si="0">SUM(B12:B16)</f>
        <v>5405</v>
      </c>
      <c r="C17" s="54">
        <f t="shared" si="0"/>
        <v>4071</v>
      </c>
      <c r="D17" s="54">
        <f t="shared" si="0"/>
        <v>1026</v>
      </c>
      <c r="E17" s="54">
        <f t="shared" si="0"/>
        <v>1046</v>
      </c>
      <c r="F17" s="54">
        <f t="shared" si="0"/>
        <v>1006</v>
      </c>
      <c r="G17" s="54">
        <f t="shared" si="0"/>
        <v>993</v>
      </c>
      <c r="H17" s="54">
        <f t="shared" si="0"/>
        <v>1334</v>
      </c>
      <c r="I17" s="54">
        <f t="shared" si="0"/>
        <v>239</v>
      </c>
      <c r="J17" s="54">
        <f t="shared" si="0"/>
        <v>220</v>
      </c>
      <c r="K17" s="54">
        <f t="shared" si="0"/>
        <v>241</v>
      </c>
      <c r="L17" s="54">
        <f t="shared" si="0"/>
        <v>268</v>
      </c>
      <c r="M17" s="54">
        <f t="shared" si="0"/>
        <v>366</v>
      </c>
    </row>
    <row r="18" spans="1:14" ht="6" customHeight="1" x14ac:dyDescent="0.2">
      <c r="A18" s="53"/>
      <c r="B18" s="54"/>
      <c r="C18" s="54"/>
      <c r="H18" s="54"/>
    </row>
    <row r="19" spans="1:14" ht="12.75" customHeight="1" x14ac:dyDescent="0.2">
      <c r="A19" s="53" t="s">
        <v>28</v>
      </c>
      <c r="B19" s="54">
        <f t="shared" ref="B19:B36" si="1">C19+H19</f>
        <v>2828</v>
      </c>
      <c r="C19" s="54">
        <f t="shared" ref="C19:C36" si="2">SUM(D19:G19)</f>
        <v>2182</v>
      </c>
      <c r="D19" s="54">
        <f>523-29+41</f>
        <v>535</v>
      </c>
      <c r="E19" s="54">
        <f>531-30+44</f>
        <v>545</v>
      </c>
      <c r="F19" s="54">
        <f>552-40+43</f>
        <v>555</v>
      </c>
      <c r="G19" s="54">
        <f>564-57+40</f>
        <v>547</v>
      </c>
      <c r="H19" s="54">
        <f>I19+J19+K19+L19+M19</f>
        <v>646</v>
      </c>
      <c r="I19" s="54">
        <f>157-20</f>
        <v>137</v>
      </c>
      <c r="J19" s="54">
        <f>154-40</f>
        <v>114</v>
      </c>
      <c r="K19" s="54">
        <f>142-35</f>
        <v>107</v>
      </c>
      <c r="L19" s="54">
        <f>167-39</f>
        <v>128</v>
      </c>
      <c r="M19" s="54">
        <f>172+32-44</f>
        <v>160</v>
      </c>
    </row>
    <row r="20" spans="1:14" ht="12.75" customHeight="1" x14ac:dyDescent="0.2">
      <c r="A20" s="53" t="s">
        <v>29</v>
      </c>
      <c r="B20" s="54">
        <f t="shared" si="1"/>
        <v>232</v>
      </c>
      <c r="C20" s="54">
        <f t="shared" si="2"/>
        <v>232</v>
      </c>
      <c r="D20" s="54">
        <v>61</v>
      </c>
      <c r="E20" s="54">
        <v>49</v>
      </c>
      <c r="F20" s="54">
        <v>62</v>
      </c>
      <c r="G20" s="54">
        <v>60</v>
      </c>
      <c r="H20" s="54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4" ht="12.75" customHeight="1" x14ac:dyDescent="0.2">
      <c r="A21" s="53" t="s">
        <v>30</v>
      </c>
      <c r="B21" s="54">
        <f t="shared" si="1"/>
        <v>399</v>
      </c>
      <c r="C21" s="54">
        <f t="shared" si="2"/>
        <v>399</v>
      </c>
      <c r="D21" s="54">
        <v>102</v>
      </c>
      <c r="E21" s="54">
        <v>94</v>
      </c>
      <c r="F21" s="54">
        <v>105</v>
      </c>
      <c r="G21" s="54">
        <v>98</v>
      </c>
      <c r="H21" s="54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1:14" ht="12.75" customHeight="1" x14ac:dyDescent="0.2">
      <c r="A22" s="53" t="s">
        <v>31</v>
      </c>
      <c r="B22" s="54">
        <f t="shared" si="1"/>
        <v>631</v>
      </c>
      <c r="C22" s="54">
        <f t="shared" si="2"/>
        <v>564</v>
      </c>
      <c r="D22" s="54">
        <v>146</v>
      </c>
      <c r="E22" s="54">
        <v>139</v>
      </c>
      <c r="F22" s="54">
        <v>150</v>
      </c>
      <c r="G22" s="54">
        <v>129</v>
      </c>
      <c r="H22" s="54">
        <f t="shared" ref="H22:H27" si="3">SUM(I22:M22)</f>
        <v>67</v>
      </c>
      <c r="I22" s="54">
        <v>0</v>
      </c>
      <c r="J22" s="54">
        <v>16</v>
      </c>
      <c r="K22" s="54">
        <v>15</v>
      </c>
      <c r="L22" s="54">
        <v>17</v>
      </c>
      <c r="M22" s="54">
        <v>19</v>
      </c>
    </row>
    <row r="23" spans="1:14" ht="12.75" customHeight="1" x14ac:dyDescent="0.2">
      <c r="A23" s="53" t="s">
        <v>32</v>
      </c>
      <c r="B23" s="54">
        <f t="shared" si="1"/>
        <v>1052</v>
      </c>
      <c r="C23" s="54">
        <f t="shared" si="2"/>
        <v>764</v>
      </c>
      <c r="D23" s="54">
        <v>177</v>
      </c>
      <c r="E23" s="54">
        <v>209</v>
      </c>
      <c r="F23" s="54">
        <v>201</v>
      </c>
      <c r="G23" s="54">
        <v>177</v>
      </c>
      <c r="H23" s="54">
        <f t="shared" si="3"/>
        <v>288</v>
      </c>
      <c r="I23" s="54">
        <v>45</v>
      </c>
      <c r="J23" s="54">
        <v>61</v>
      </c>
      <c r="K23" s="54">
        <v>38</v>
      </c>
      <c r="L23" s="54">
        <v>45</v>
      </c>
      <c r="M23" s="54">
        <f>71+19+9</f>
        <v>99</v>
      </c>
      <c r="N23" s="54"/>
    </row>
    <row r="24" spans="1:14" ht="12.75" customHeight="1" x14ac:dyDescent="0.2">
      <c r="A24" s="53" t="s">
        <v>33</v>
      </c>
      <c r="B24" s="54">
        <f t="shared" si="1"/>
        <v>424</v>
      </c>
      <c r="C24" s="54">
        <f t="shared" si="2"/>
        <v>260</v>
      </c>
      <c r="D24" s="54">
        <f>32+36</f>
        <v>68</v>
      </c>
      <c r="E24" s="54">
        <f>35+32</f>
        <v>67</v>
      </c>
      <c r="F24" s="54">
        <f>29+30</f>
        <v>59</v>
      </c>
      <c r="G24" s="54">
        <f>35+31</f>
        <v>66</v>
      </c>
      <c r="H24" s="54">
        <f t="shared" si="3"/>
        <v>164</v>
      </c>
      <c r="I24" s="54">
        <v>17</v>
      </c>
      <c r="J24" s="54">
        <v>31</v>
      </c>
      <c r="K24" s="54">
        <v>35</v>
      </c>
      <c r="L24" s="54">
        <v>20</v>
      </c>
      <c r="M24" s="54">
        <f>33+28</f>
        <v>61</v>
      </c>
      <c r="N24" s="54"/>
    </row>
    <row r="25" spans="1:14" ht="12.75" customHeight="1" x14ac:dyDescent="0.2">
      <c r="A25" s="53" t="s">
        <v>34</v>
      </c>
      <c r="B25" s="54">
        <f t="shared" si="1"/>
        <v>896</v>
      </c>
      <c r="C25" s="54">
        <f t="shared" si="2"/>
        <v>704</v>
      </c>
      <c r="D25" s="54">
        <v>179</v>
      </c>
      <c r="E25" s="54">
        <v>167</v>
      </c>
      <c r="F25" s="54">
        <v>178</v>
      </c>
      <c r="G25" s="54">
        <v>180</v>
      </c>
      <c r="H25" s="54">
        <f t="shared" si="3"/>
        <v>192</v>
      </c>
      <c r="I25" s="54">
        <v>24</v>
      </c>
      <c r="J25" s="54">
        <v>31</v>
      </c>
      <c r="K25" s="54">
        <v>37</v>
      </c>
      <c r="L25" s="54">
        <v>50</v>
      </c>
      <c r="M25" s="54">
        <v>50</v>
      </c>
    </row>
    <row r="26" spans="1:14" ht="12.75" customHeight="1" x14ac:dyDescent="0.2">
      <c r="A26" s="53" t="s">
        <v>35</v>
      </c>
      <c r="B26" s="54">
        <f t="shared" si="1"/>
        <v>1181</v>
      </c>
      <c r="C26" s="54">
        <f t="shared" si="2"/>
        <v>781</v>
      </c>
      <c r="D26" s="54">
        <f>115+140-41</f>
        <v>214</v>
      </c>
      <c r="E26" s="54">
        <f>104+144-44</f>
        <v>204</v>
      </c>
      <c r="F26" s="54">
        <f>104+126-43</f>
        <v>187</v>
      </c>
      <c r="G26" s="54">
        <f>101+115-40</f>
        <v>176</v>
      </c>
      <c r="H26" s="54">
        <f t="shared" si="3"/>
        <v>400</v>
      </c>
      <c r="I26" s="54">
        <f>30+47</f>
        <v>77</v>
      </c>
      <c r="J26" s="54">
        <f>31+44</f>
        <v>75</v>
      </c>
      <c r="K26" s="54">
        <f>37+38</f>
        <v>75</v>
      </c>
      <c r="L26" s="54">
        <f>22+50</f>
        <v>72</v>
      </c>
      <c r="M26" s="54">
        <f>34+18+49</f>
        <v>101</v>
      </c>
    </row>
    <row r="27" spans="1:14" ht="12.75" customHeight="1" x14ac:dyDescent="0.2">
      <c r="A27" s="53" t="s">
        <v>36</v>
      </c>
      <c r="B27" s="54">
        <f t="shared" si="1"/>
        <v>334</v>
      </c>
      <c r="C27" s="54">
        <f t="shared" si="2"/>
        <v>156</v>
      </c>
      <c r="D27" s="54">
        <v>29</v>
      </c>
      <c r="E27" s="54">
        <v>30</v>
      </c>
      <c r="F27" s="54">
        <v>40</v>
      </c>
      <c r="G27" s="54">
        <v>57</v>
      </c>
      <c r="H27" s="54">
        <f t="shared" si="3"/>
        <v>178</v>
      </c>
      <c r="I27" s="54">
        <v>20</v>
      </c>
      <c r="J27" s="54">
        <v>40</v>
      </c>
      <c r="K27" s="54">
        <v>35</v>
      </c>
      <c r="L27" s="54">
        <v>39</v>
      </c>
      <c r="M27" s="54">
        <v>44</v>
      </c>
    </row>
    <row r="28" spans="1:14" ht="12.75" customHeight="1" x14ac:dyDescent="0.2">
      <c r="A28" s="53" t="s">
        <v>37</v>
      </c>
      <c r="B28" s="54">
        <f t="shared" si="1"/>
        <v>297</v>
      </c>
      <c r="C28" s="54">
        <f t="shared" si="2"/>
        <v>297</v>
      </c>
      <c r="D28" s="54">
        <f>34+48</f>
        <v>82</v>
      </c>
      <c r="E28" s="54">
        <f>40+28</f>
        <v>68</v>
      </c>
      <c r="F28" s="54">
        <f>38+42</f>
        <v>80</v>
      </c>
      <c r="G28" s="54">
        <f>36+31</f>
        <v>67</v>
      </c>
      <c r="H28" s="54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1:14" ht="12.75" customHeight="1" x14ac:dyDescent="0.2">
      <c r="A29" s="53" t="s">
        <v>38</v>
      </c>
      <c r="B29" s="54">
        <f t="shared" si="1"/>
        <v>406</v>
      </c>
      <c r="C29" s="54">
        <f t="shared" si="2"/>
        <v>304</v>
      </c>
      <c r="D29" s="54">
        <v>83</v>
      </c>
      <c r="E29" s="54">
        <v>65</v>
      </c>
      <c r="F29" s="54">
        <v>84</v>
      </c>
      <c r="G29" s="54">
        <v>72</v>
      </c>
      <c r="H29" s="54">
        <f t="shared" ref="H29:H36" si="4">SUM(I29:M29)</f>
        <v>102</v>
      </c>
      <c r="I29" s="54">
        <v>21</v>
      </c>
      <c r="J29" s="54">
        <v>22</v>
      </c>
      <c r="K29" s="54">
        <v>19</v>
      </c>
      <c r="L29" s="54">
        <v>22</v>
      </c>
      <c r="M29" s="54">
        <v>18</v>
      </c>
    </row>
    <row r="30" spans="1:14" ht="12.75" customHeight="1" x14ac:dyDescent="0.2">
      <c r="A30" s="53" t="s">
        <v>39</v>
      </c>
      <c r="B30" s="54">
        <f t="shared" si="1"/>
        <v>1012</v>
      </c>
      <c r="C30" s="54">
        <f t="shared" si="2"/>
        <v>888</v>
      </c>
      <c r="D30" s="54">
        <v>232</v>
      </c>
      <c r="E30" s="54">
        <v>248</v>
      </c>
      <c r="F30" s="54">
        <v>214</v>
      </c>
      <c r="G30" s="54">
        <v>194</v>
      </c>
      <c r="H30" s="54">
        <f t="shared" si="4"/>
        <v>124</v>
      </c>
      <c r="I30" s="54">
        <v>25</v>
      </c>
      <c r="J30" s="54">
        <v>20</v>
      </c>
      <c r="K30" s="54">
        <v>16</v>
      </c>
      <c r="L30" s="54">
        <v>32</v>
      </c>
      <c r="M30" s="54">
        <v>31</v>
      </c>
    </row>
    <row r="31" spans="1:14" ht="12.75" customHeight="1" x14ac:dyDescent="0.2">
      <c r="A31" s="53" t="s">
        <v>40</v>
      </c>
      <c r="B31" s="54">
        <f t="shared" si="1"/>
        <v>406</v>
      </c>
      <c r="C31" s="54">
        <f t="shared" si="2"/>
        <v>310</v>
      </c>
      <c r="D31" s="54">
        <v>84</v>
      </c>
      <c r="E31" s="54">
        <v>77</v>
      </c>
      <c r="F31" s="54">
        <v>74</v>
      </c>
      <c r="G31" s="54">
        <v>75</v>
      </c>
      <c r="H31" s="54">
        <f t="shared" si="4"/>
        <v>96</v>
      </c>
      <c r="I31" s="54">
        <v>18</v>
      </c>
      <c r="J31" s="54">
        <v>14</v>
      </c>
      <c r="K31" s="54">
        <v>19</v>
      </c>
      <c r="L31" s="54">
        <v>25</v>
      </c>
      <c r="M31" s="54">
        <v>20</v>
      </c>
    </row>
    <row r="32" spans="1:14" ht="12.75" customHeight="1" x14ac:dyDescent="0.2">
      <c r="A32" s="53" t="s">
        <v>41</v>
      </c>
      <c r="B32" s="54">
        <f t="shared" si="1"/>
        <v>656</v>
      </c>
      <c r="C32" s="54">
        <f t="shared" si="2"/>
        <v>495</v>
      </c>
      <c r="D32" s="54">
        <f>70+56</f>
        <v>126</v>
      </c>
      <c r="E32" s="54">
        <f>65+66</f>
        <v>131</v>
      </c>
      <c r="F32" s="54">
        <f>53+69</f>
        <v>122</v>
      </c>
      <c r="G32" s="54">
        <f>53+63</f>
        <v>116</v>
      </c>
      <c r="H32" s="54">
        <f t="shared" si="4"/>
        <v>161</v>
      </c>
      <c r="I32" s="54">
        <v>16</v>
      </c>
      <c r="J32" s="54">
        <v>33</v>
      </c>
      <c r="K32" s="54">
        <v>31</v>
      </c>
      <c r="L32" s="54">
        <v>35</v>
      </c>
      <c r="M32" s="54">
        <f>36+10</f>
        <v>46</v>
      </c>
    </row>
    <row r="33" spans="1:14" ht="12.75" customHeight="1" x14ac:dyDescent="0.2">
      <c r="A33" s="53" t="s">
        <v>42</v>
      </c>
      <c r="B33" s="54">
        <f t="shared" si="1"/>
        <v>1605</v>
      </c>
      <c r="C33" s="54">
        <f t="shared" si="2"/>
        <v>1314</v>
      </c>
      <c r="D33" s="54">
        <f>397-53</f>
        <v>344</v>
      </c>
      <c r="E33" s="54">
        <f>347-32</f>
        <v>315</v>
      </c>
      <c r="F33" s="54">
        <f>343-43</f>
        <v>300</v>
      </c>
      <c r="G33" s="54">
        <f>384+12-41</f>
        <v>355</v>
      </c>
      <c r="H33" s="54">
        <f t="shared" si="4"/>
        <v>291</v>
      </c>
      <c r="I33" s="54">
        <v>51</v>
      </c>
      <c r="J33" s="54">
        <v>58</v>
      </c>
      <c r="K33" s="54">
        <v>36</v>
      </c>
      <c r="L33" s="54">
        <v>53</v>
      </c>
      <c r="M33" s="54">
        <f>59+34</f>
        <v>93</v>
      </c>
      <c r="N33" s="54"/>
    </row>
    <row r="34" spans="1:14" ht="12.75" customHeight="1" x14ac:dyDescent="0.2">
      <c r="A34" s="53" t="s">
        <v>43</v>
      </c>
      <c r="B34" s="54">
        <f t="shared" si="1"/>
        <v>391</v>
      </c>
      <c r="C34" s="54">
        <f t="shared" si="2"/>
        <v>272</v>
      </c>
      <c r="D34" s="54">
        <v>63</v>
      </c>
      <c r="E34" s="54">
        <v>77</v>
      </c>
      <c r="F34" s="54">
        <v>62</v>
      </c>
      <c r="G34" s="54">
        <v>70</v>
      </c>
      <c r="H34" s="54">
        <f t="shared" si="4"/>
        <v>119</v>
      </c>
      <c r="I34" s="54">
        <v>17</v>
      </c>
      <c r="J34" s="54">
        <v>25</v>
      </c>
      <c r="K34" s="54">
        <v>32</v>
      </c>
      <c r="L34" s="54">
        <v>27</v>
      </c>
      <c r="M34" s="54">
        <v>18</v>
      </c>
    </row>
    <row r="35" spans="1:14" ht="12.75" customHeight="1" x14ac:dyDescent="0.2">
      <c r="A35" s="53" t="s">
        <v>44</v>
      </c>
      <c r="B35" s="54">
        <f t="shared" si="1"/>
        <v>1471</v>
      </c>
      <c r="C35" s="54">
        <f t="shared" si="2"/>
        <v>1184</v>
      </c>
      <c r="D35" s="54">
        <v>285</v>
      </c>
      <c r="E35" s="54">
        <v>313</v>
      </c>
      <c r="F35" s="54">
        <v>276</v>
      </c>
      <c r="G35" s="54">
        <v>310</v>
      </c>
      <c r="H35" s="54">
        <f t="shared" si="4"/>
        <v>287</v>
      </c>
      <c r="I35" s="54">
        <v>63</v>
      </c>
      <c r="J35" s="54">
        <v>58</v>
      </c>
      <c r="K35" s="54">
        <v>45</v>
      </c>
      <c r="L35" s="54">
        <v>62</v>
      </c>
      <c r="M35" s="54">
        <v>59</v>
      </c>
    </row>
    <row r="36" spans="1:14" ht="12.75" customHeight="1" x14ac:dyDescent="0.2">
      <c r="A36" s="53" t="s">
        <v>45</v>
      </c>
      <c r="B36" s="54">
        <f t="shared" si="1"/>
        <v>1679</v>
      </c>
      <c r="C36" s="54">
        <f t="shared" si="2"/>
        <v>1238</v>
      </c>
      <c r="D36" s="54">
        <v>301</v>
      </c>
      <c r="E36" s="54">
        <v>308</v>
      </c>
      <c r="F36" s="54">
        <v>316</v>
      </c>
      <c r="G36" s="54">
        <v>313</v>
      </c>
      <c r="H36" s="54">
        <f t="shared" si="4"/>
        <v>441</v>
      </c>
      <c r="I36" s="54">
        <v>95</v>
      </c>
      <c r="J36" s="54">
        <v>89</v>
      </c>
      <c r="K36" s="54">
        <v>83</v>
      </c>
      <c r="L36" s="54">
        <v>84</v>
      </c>
      <c r="M36" s="54">
        <v>90</v>
      </c>
    </row>
    <row r="37" spans="1:14" ht="12.75" customHeight="1" x14ac:dyDescent="0.2">
      <c r="A37" s="55" t="s">
        <v>46</v>
      </c>
      <c r="B37" s="54">
        <f t="shared" ref="B37:M37" si="5">SUM(B19:B36)</f>
        <v>15900</v>
      </c>
      <c r="C37" s="54">
        <f t="shared" si="5"/>
        <v>12344</v>
      </c>
      <c r="D37" s="54">
        <f t="shared" si="5"/>
        <v>3111</v>
      </c>
      <c r="E37" s="54">
        <f t="shared" si="5"/>
        <v>3106</v>
      </c>
      <c r="F37" s="54">
        <f t="shared" si="5"/>
        <v>3065</v>
      </c>
      <c r="G37" s="54">
        <f t="shared" si="5"/>
        <v>3062</v>
      </c>
      <c r="H37" s="54">
        <f t="shared" si="5"/>
        <v>3556</v>
      </c>
      <c r="I37" s="54">
        <f t="shared" si="5"/>
        <v>626</v>
      </c>
      <c r="J37" s="54">
        <f t="shared" si="5"/>
        <v>687</v>
      </c>
      <c r="K37" s="54">
        <f t="shared" si="5"/>
        <v>623</v>
      </c>
      <c r="L37" s="54">
        <f t="shared" si="5"/>
        <v>711</v>
      </c>
      <c r="M37" s="54">
        <f t="shared" si="5"/>
        <v>909</v>
      </c>
    </row>
    <row r="38" spans="1:14" ht="6" customHeight="1" x14ac:dyDescent="0.2">
      <c r="A38" s="53"/>
      <c r="B38" s="54"/>
      <c r="C38" s="54"/>
      <c r="H38" s="54"/>
    </row>
    <row r="39" spans="1:14" ht="12.75" customHeight="1" x14ac:dyDescent="0.2">
      <c r="A39" s="55" t="s">
        <v>47</v>
      </c>
      <c r="B39" s="56">
        <f t="shared" ref="B39:M39" si="6">+B17+B37</f>
        <v>21305</v>
      </c>
      <c r="C39" s="56">
        <f t="shared" si="6"/>
        <v>16415</v>
      </c>
      <c r="D39" s="56">
        <f t="shared" si="6"/>
        <v>4137</v>
      </c>
      <c r="E39" s="56">
        <f t="shared" si="6"/>
        <v>4152</v>
      </c>
      <c r="F39" s="56">
        <f t="shared" si="6"/>
        <v>4071</v>
      </c>
      <c r="G39" s="56">
        <f t="shared" si="6"/>
        <v>4055</v>
      </c>
      <c r="H39" s="56">
        <f t="shared" si="6"/>
        <v>4890</v>
      </c>
      <c r="I39" s="56">
        <f t="shared" si="6"/>
        <v>865</v>
      </c>
      <c r="J39" s="56">
        <f t="shared" si="6"/>
        <v>907</v>
      </c>
      <c r="K39" s="56">
        <f t="shared" si="6"/>
        <v>864</v>
      </c>
      <c r="L39" s="56">
        <f t="shared" si="6"/>
        <v>979</v>
      </c>
      <c r="M39" s="56">
        <f t="shared" si="6"/>
        <v>1275</v>
      </c>
    </row>
    <row r="40" spans="1:14" s="66" customFormat="1" ht="12.75" customHeight="1" x14ac:dyDescent="0.25">
      <c r="A40" s="64" t="s">
        <v>75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1:14" ht="12.75" customHeight="1" x14ac:dyDescent="0.2">
      <c r="A41" s="59" t="s">
        <v>83</v>
      </c>
      <c r="B41" s="58"/>
      <c r="C41" s="58"/>
      <c r="D41" s="58"/>
    </row>
    <row r="42" spans="1:14" ht="6" customHeight="1" x14ac:dyDescent="0.2">
      <c r="A42" s="58"/>
      <c r="B42" s="58"/>
      <c r="C42" s="58"/>
      <c r="D42" s="58"/>
    </row>
    <row r="43" spans="1:14" ht="12.75" customHeight="1" x14ac:dyDescent="0.2">
      <c r="A43" s="60" t="s">
        <v>78</v>
      </c>
      <c r="B43" s="58"/>
      <c r="C43" s="58"/>
      <c r="D43" s="58"/>
    </row>
    <row r="65" spans="1:1" ht="10.199999999999999" x14ac:dyDescent="0.2">
      <c r="A65" s="45"/>
    </row>
    <row r="66" spans="1:1" ht="10.199999999999999" x14ac:dyDescent="0.2"/>
  </sheetData>
  <mergeCells count="6">
    <mergeCell ref="I7:M9"/>
    <mergeCell ref="H7:H10"/>
    <mergeCell ref="A6:A10"/>
    <mergeCell ref="B6:B10"/>
    <mergeCell ref="C7:C10"/>
    <mergeCell ref="D7:G9"/>
  </mergeCells>
  <phoneticPr fontId="5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>
      <selection activeCell="A4" sqref="A4"/>
    </sheetView>
  </sheetViews>
  <sheetFormatPr baseColWidth="10" defaultColWidth="8.42578125" defaultRowHeight="12.75" customHeight="1" x14ac:dyDescent="0.2"/>
  <cols>
    <col min="1" max="1" width="21.7109375" style="20" customWidth="1"/>
    <col min="2" max="13" width="8" style="20" customWidth="1"/>
    <col min="14" max="14" width="0.140625" style="20" customWidth="1"/>
    <col min="15" max="15" width="0.42578125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12.75" customHeight="1" x14ac:dyDescent="0.25">
      <c r="A3" s="68" t="s">
        <v>104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5">
      <c r="A4" s="67" t="s">
        <v>81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ht="12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4" ht="12.75" customHeight="1" thickBot="1" x14ac:dyDescent="0.25">
      <c r="A6" s="80" t="s">
        <v>8</v>
      </c>
      <c r="B6" s="80" t="s">
        <v>82</v>
      </c>
      <c r="C6" s="47" t="s">
        <v>4</v>
      </c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4" ht="12.75" customHeight="1" thickBot="1" x14ac:dyDescent="0.25">
      <c r="A7" s="77"/>
      <c r="B7" s="77"/>
      <c r="C7" s="82" t="s">
        <v>85</v>
      </c>
      <c r="D7" s="77" t="s">
        <v>77</v>
      </c>
      <c r="E7" s="78"/>
      <c r="F7" s="78"/>
      <c r="G7" s="78"/>
      <c r="H7" s="82" t="s">
        <v>88</v>
      </c>
      <c r="I7" s="77" t="s">
        <v>77</v>
      </c>
      <c r="J7" s="78"/>
      <c r="K7" s="78"/>
      <c r="L7" s="78"/>
      <c r="M7" s="79"/>
    </row>
    <row r="8" spans="1:14" ht="12.75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2.75" customHeight="1" thickBot="1" x14ac:dyDescent="0.25">
      <c r="A9" s="77"/>
      <c r="B9" s="77"/>
      <c r="C9" s="77"/>
      <c r="D9" s="78"/>
      <c r="E9" s="78"/>
      <c r="F9" s="78"/>
      <c r="G9" s="78"/>
      <c r="H9" s="77"/>
      <c r="I9" s="78"/>
      <c r="J9" s="78"/>
      <c r="K9" s="78"/>
      <c r="L9" s="78"/>
      <c r="M9" s="79"/>
    </row>
    <row r="10" spans="1:14" ht="12.75" customHeight="1" thickBot="1" x14ac:dyDescent="0.25">
      <c r="A10" s="77"/>
      <c r="B10" s="77"/>
      <c r="C10" s="77"/>
      <c r="D10" s="61">
        <v>1</v>
      </c>
      <c r="E10" s="61">
        <v>2</v>
      </c>
      <c r="F10" s="61">
        <v>3</v>
      </c>
      <c r="G10" s="62">
        <v>4</v>
      </c>
      <c r="H10" s="77"/>
      <c r="I10" s="61">
        <v>5</v>
      </c>
      <c r="J10" s="61">
        <v>6</v>
      </c>
      <c r="K10" s="61">
        <v>7</v>
      </c>
      <c r="L10" s="61">
        <v>8</v>
      </c>
      <c r="M10" s="51" t="s">
        <v>21</v>
      </c>
    </row>
    <row r="11" spans="1:14" ht="12.75" customHeight="1" x14ac:dyDescent="0.2">
      <c r="A11" s="52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63" t="s">
        <v>76</v>
      </c>
    </row>
    <row r="12" spans="1:14" ht="12.75" customHeight="1" x14ac:dyDescent="0.2">
      <c r="A12" s="53" t="s">
        <v>22</v>
      </c>
      <c r="B12" s="54">
        <f>C12+H12</f>
        <v>185</v>
      </c>
      <c r="C12" s="54">
        <f>SUM(D12:G12)</f>
        <v>185</v>
      </c>
      <c r="D12" s="54">
        <v>39</v>
      </c>
      <c r="E12" s="54">
        <v>42</v>
      </c>
      <c r="F12" s="54">
        <v>46</v>
      </c>
      <c r="G12" s="54">
        <v>58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4" ht="12.75" customHeight="1" x14ac:dyDescent="0.2">
      <c r="A13" s="53" t="s">
        <v>23</v>
      </c>
      <c r="B13" s="54">
        <f>C13+H13</f>
        <v>1087</v>
      </c>
      <c r="C13" s="54">
        <f>SUM(D13:G13)</f>
        <v>935</v>
      </c>
      <c r="D13" s="54">
        <v>238</v>
      </c>
      <c r="E13" s="54">
        <v>241</v>
      </c>
      <c r="F13" s="54">
        <v>247</v>
      </c>
      <c r="G13" s="54">
        <v>209</v>
      </c>
      <c r="H13" s="54">
        <f>I13+J13+K13+L13+M13</f>
        <v>152</v>
      </c>
      <c r="I13" s="54">
        <v>21</v>
      </c>
      <c r="J13" s="54">
        <v>35</v>
      </c>
      <c r="K13" s="54">
        <v>38</v>
      </c>
      <c r="L13" s="54">
        <v>37</v>
      </c>
      <c r="M13" s="54">
        <v>21</v>
      </c>
    </row>
    <row r="14" spans="1:14" ht="12.75" customHeight="1" x14ac:dyDescent="0.2">
      <c r="A14" s="53" t="s">
        <v>24</v>
      </c>
      <c r="B14" s="54">
        <f>C14+H14</f>
        <v>1782</v>
      </c>
      <c r="C14" s="54">
        <f>SUM(D14:G14)</f>
        <v>1250</v>
      </c>
      <c r="D14" s="54">
        <v>319</v>
      </c>
      <c r="E14" s="54">
        <v>298</v>
      </c>
      <c r="F14" s="54">
        <v>321</v>
      </c>
      <c r="G14" s="54">
        <v>312</v>
      </c>
      <c r="H14" s="54">
        <f>I14+J14+K14+L14+M14</f>
        <v>532</v>
      </c>
      <c r="I14" s="54">
        <v>125</v>
      </c>
      <c r="J14" s="54">
        <v>106</v>
      </c>
      <c r="K14" s="54">
        <v>90</v>
      </c>
      <c r="L14" s="54">
        <v>93</v>
      </c>
      <c r="M14" s="54">
        <v>118</v>
      </c>
      <c r="N14" s="54">
        <v>1</v>
      </c>
    </row>
    <row r="15" spans="1:14" ht="12.75" customHeight="1" x14ac:dyDescent="0.2">
      <c r="A15" s="53" t="s">
        <v>25</v>
      </c>
      <c r="B15" s="54">
        <f>C15+H15</f>
        <v>1294</v>
      </c>
      <c r="C15" s="54">
        <f>SUM(D15:G15)</f>
        <v>942</v>
      </c>
      <c r="D15" s="54">
        <v>244</v>
      </c>
      <c r="E15" s="54">
        <v>218</v>
      </c>
      <c r="F15" s="54">
        <v>236</v>
      </c>
      <c r="G15" s="54">
        <v>244</v>
      </c>
      <c r="H15" s="54">
        <f>I15+J15+K15+L15+M15</f>
        <v>352</v>
      </c>
      <c r="I15" s="21">
        <v>48</v>
      </c>
      <c r="J15" s="21">
        <v>66</v>
      </c>
      <c r="K15" s="21">
        <v>74</v>
      </c>
      <c r="L15" s="21">
        <v>64</v>
      </c>
      <c r="M15" s="21">
        <v>100</v>
      </c>
    </row>
    <row r="16" spans="1:14" ht="12.75" customHeight="1" x14ac:dyDescent="0.2">
      <c r="A16" s="53" t="s">
        <v>26</v>
      </c>
      <c r="B16" s="54">
        <f>C16+H16</f>
        <v>1188</v>
      </c>
      <c r="C16" s="54">
        <f>SUM(D16:G16)</f>
        <v>828</v>
      </c>
      <c r="D16" s="54">
        <v>212</v>
      </c>
      <c r="E16" s="54">
        <v>222</v>
      </c>
      <c r="F16" s="54">
        <v>201</v>
      </c>
      <c r="G16" s="54">
        <v>193</v>
      </c>
      <c r="H16" s="54">
        <f>I16+J16+K16+L16+M16</f>
        <v>360</v>
      </c>
      <c r="I16" s="21">
        <v>57</v>
      </c>
      <c r="J16" s="21">
        <v>40</v>
      </c>
      <c r="K16" s="21">
        <v>56</v>
      </c>
      <c r="L16" s="21">
        <v>77</v>
      </c>
      <c r="M16" s="20">
        <v>130</v>
      </c>
    </row>
    <row r="17" spans="1:14" ht="12.75" customHeight="1" x14ac:dyDescent="0.2">
      <c r="A17" s="55" t="s">
        <v>27</v>
      </c>
      <c r="B17" s="54">
        <f t="shared" ref="B17:M17" si="0">SUM(B12:B16)</f>
        <v>5536</v>
      </c>
      <c r="C17" s="54">
        <f t="shared" si="0"/>
        <v>4140</v>
      </c>
      <c r="D17" s="54">
        <f t="shared" si="0"/>
        <v>1052</v>
      </c>
      <c r="E17" s="54">
        <f t="shared" si="0"/>
        <v>1021</v>
      </c>
      <c r="F17" s="54">
        <f t="shared" si="0"/>
        <v>1051</v>
      </c>
      <c r="G17" s="54">
        <f t="shared" si="0"/>
        <v>1016</v>
      </c>
      <c r="H17" s="54">
        <f t="shared" si="0"/>
        <v>1396</v>
      </c>
      <c r="I17" s="54">
        <f t="shared" si="0"/>
        <v>251</v>
      </c>
      <c r="J17" s="54">
        <f t="shared" si="0"/>
        <v>247</v>
      </c>
      <c r="K17" s="54">
        <f t="shared" si="0"/>
        <v>258</v>
      </c>
      <c r="L17" s="54">
        <f t="shared" si="0"/>
        <v>271</v>
      </c>
      <c r="M17" s="54">
        <f t="shared" si="0"/>
        <v>369</v>
      </c>
    </row>
    <row r="18" spans="1:14" ht="6" customHeight="1" x14ac:dyDescent="0.2">
      <c r="A18" s="53"/>
      <c r="B18" s="54"/>
      <c r="C18" s="54"/>
      <c r="H18" s="54"/>
    </row>
    <row r="19" spans="1:14" ht="12.75" customHeight="1" x14ac:dyDescent="0.2">
      <c r="A19" s="53" t="s">
        <v>28</v>
      </c>
      <c r="B19" s="54">
        <f t="shared" ref="B19:B36" si="1">C19+H19</f>
        <v>2881</v>
      </c>
      <c r="C19" s="54">
        <f t="shared" ref="C19:C36" si="2">SUM(D19:G19)</f>
        <v>2253</v>
      </c>
      <c r="D19" s="54">
        <f>510+42-32</f>
        <v>520</v>
      </c>
      <c r="E19" s="54">
        <f>569+44-44</f>
        <v>569</v>
      </c>
      <c r="F19" s="54">
        <f>579+40-57+2</f>
        <v>564</v>
      </c>
      <c r="G19" s="54">
        <f>603+39-46+4</f>
        <v>600</v>
      </c>
      <c r="H19" s="54">
        <f>I19+J19+K19+L19+M19</f>
        <v>628</v>
      </c>
      <c r="I19" s="54">
        <f>155-41</f>
        <v>114</v>
      </c>
      <c r="J19" s="54">
        <f>160-39</f>
        <v>121</v>
      </c>
      <c r="K19" s="54">
        <f>162-36</f>
        <v>126</v>
      </c>
      <c r="L19" s="54">
        <f>176-45</f>
        <v>131</v>
      </c>
      <c r="M19" s="54">
        <f>144+27-35</f>
        <v>136</v>
      </c>
    </row>
    <row r="20" spans="1:14" ht="12.75" customHeight="1" x14ac:dyDescent="0.2">
      <c r="A20" s="53" t="s">
        <v>29</v>
      </c>
      <c r="B20" s="54">
        <f t="shared" si="1"/>
        <v>222</v>
      </c>
      <c r="C20" s="54">
        <f t="shared" si="2"/>
        <v>222</v>
      </c>
      <c r="D20" s="54">
        <v>50</v>
      </c>
      <c r="E20" s="54">
        <v>62</v>
      </c>
      <c r="F20" s="54">
        <v>65</v>
      </c>
      <c r="G20" s="54">
        <v>45</v>
      </c>
      <c r="H20" s="54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4" ht="12.75" customHeight="1" x14ac:dyDescent="0.2">
      <c r="A21" s="53" t="s">
        <v>30</v>
      </c>
      <c r="B21" s="54">
        <f t="shared" si="1"/>
        <v>403</v>
      </c>
      <c r="C21" s="54">
        <f t="shared" si="2"/>
        <v>403</v>
      </c>
      <c r="D21" s="54">
        <v>97</v>
      </c>
      <c r="E21" s="54">
        <v>90</v>
      </c>
      <c r="F21" s="54">
        <v>112</v>
      </c>
      <c r="G21" s="54">
        <v>104</v>
      </c>
      <c r="H21" s="54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1:14" ht="12.75" customHeight="1" x14ac:dyDescent="0.2">
      <c r="A22" s="53" t="s">
        <v>31</v>
      </c>
      <c r="B22" s="54">
        <f t="shared" si="1"/>
        <v>606</v>
      </c>
      <c r="C22" s="54">
        <f t="shared" si="2"/>
        <v>526</v>
      </c>
      <c r="D22" s="54">
        <v>130</v>
      </c>
      <c r="E22" s="54">
        <v>143</v>
      </c>
      <c r="F22" s="54">
        <v>135</v>
      </c>
      <c r="G22" s="54">
        <v>118</v>
      </c>
      <c r="H22" s="54">
        <f t="shared" ref="H22:H27" si="3">SUM(I22:M22)</f>
        <v>80</v>
      </c>
      <c r="I22" s="54">
        <v>16</v>
      </c>
      <c r="J22" s="54">
        <v>13</v>
      </c>
      <c r="K22" s="54">
        <v>13</v>
      </c>
      <c r="L22" s="54">
        <v>19</v>
      </c>
      <c r="M22" s="54">
        <v>19</v>
      </c>
    </row>
    <row r="23" spans="1:14" ht="12.75" customHeight="1" x14ac:dyDescent="0.2">
      <c r="A23" s="53" t="s">
        <v>32</v>
      </c>
      <c r="B23" s="54">
        <f t="shared" si="1"/>
        <v>1091</v>
      </c>
      <c r="C23" s="54">
        <f t="shared" si="2"/>
        <v>790</v>
      </c>
      <c r="D23" s="54">
        <v>202</v>
      </c>
      <c r="E23" s="54">
        <v>199</v>
      </c>
      <c r="F23" s="54">
        <v>184</v>
      </c>
      <c r="G23" s="54">
        <v>205</v>
      </c>
      <c r="H23" s="54">
        <f t="shared" si="3"/>
        <v>301</v>
      </c>
      <c r="I23" s="54">
        <v>62</v>
      </c>
      <c r="J23" s="54">
        <v>35</v>
      </c>
      <c r="K23" s="54">
        <v>50</v>
      </c>
      <c r="L23" s="54">
        <v>63</v>
      </c>
      <c r="M23" s="54">
        <f>46+33+12</f>
        <v>91</v>
      </c>
      <c r="N23" s="54"/>
    </row>
    <row r="24" spans="1:14" ht="12.75" customHeight="1" x14ac:dyDescent="0.2">
      <c r="A24" s="53" t="s">
        <v>33</v>
      </c>
      <c r="B24" s="54">
        <f t="shared" si="1"/>
        <v>452</v>
      </c>
      <c r="C24" s="54">
        <f t="shared" si="2"/>
        <v>261</v>
      </c>
      <c r="D24" s="54">
        <f>33+30</f>
        <v>63</v>
      </c>
      <c r="E24" s="54">
        <f>34+33</f>
        <v>67</v>
      </c>
      <c r="F24" s="54">
        <f>34+29</f>
        <v>63</v>
      </c>
      <c r="G24" s="54">
        <f>34+34</f>
        <v>68</v>
      </c>
      <c r="H24" s="54">
        <f t="shared" si="3"/>
        <v>191</v>
      </c>
      <c r="I24" s="54">
        <v>33</v>
      </c>
      <c r="J24" s="54">
        <v>34</v>
      </c>
      <c r="K24" s="54">
        <v>31</v>
      </c>
      <c r="L24" s="54">
        <v>31</v>
      </c>
      <c r="M24" s="54">
        <f>24+38</f>
        <v>62</v>
      </c>
      <c r="N24" s="54">
        <v>36</v>
      </c>
    </row>
    <row r="25" spans="1:14" ht="12.75" customHeight="1" x14ac:dyDescent="0.2">
      <c r="A25" s="53" t="s">
        <v>34</v>
      </c>
      <c r="B25" s="54">
        <f t="shared" si="1"/>
        <v>943</v>
      </c>
      <c r="C25" s="54">
        <f t="shared" si="2"/>
        <v>715</v>
      </c>
      <c r="D25" s="54">
        <v>163</v>
      </c>
      <c r="E25" s="54">
        <v>186</v>
      </c>
      <c r="F25" s="54">
        <v>187</v>
      </c>
      <c r="G25" s="54">
        <v>179</v>
      </c>
      <c r="H25" s="54">
        <f t="shared" si="3"/>
        <v>228</v>
      </c>
      <c r="I25" s="54">
        <v>35</v>
      </c>
      <c r="J25" s="54">
        <v>40</v>
      </c>
      <c r="K25" s="54">
        <v>42</v>
      </c>
      <c r="L25" s="54">
        <v>44</v>
      </c>
      <c r="M25" s="54">
        <v>67</v>
      </c>
    </row>
    <row r="26" spans="1:14" ht="12.75" customHeight="1" x14ac:dyDescent="0.2">
      <c r="A26" s="53" t="s">
        <v>35</v>
      </c>
      <c r="B26" s="54">
        <f t="shared" si="1"/>
        <v>1189</v>
      </c>
      <c r="C26" s="54">
        <f t="shared" si="2"/>
        <v>799</v>
      </c>
      <c r="D26" s="54">
        <f>107+140-42</f>
        <v>205</v>
      </c>
      <c r="E26" s="54">
        <f>108+134-44</f>
        <v>198</v>
      </c>
      <c r="F26" s="54">
        <f>107+119-40</f>
        <v>186</v>
      </c>
      <c r="G26" s="54">
        <f>120+129-39</f>
        <v>210</v>
      </c>
      <c r="H26" s="54">
        <f t="shared" si="3"/>
        <v>390</v>
      </c>
      <c r="I26" s="54">
        <f>41+48</f>
        <v>89</v>
      </c>
      <c r="J26" s="54">
        <f>36+40</f>
        <v>76</v>
      </c>
      <c r="K26" s="54">
        <f>24+41</f>
        <v>65</v>
      </c>
      <c r="L26" s="54">
        <f>34+51</f>
        <v>85</v>
      </c>
      <c r="M26" s="54">
        <f>29+13+33</f>
        <v>75</v>
      </c>
    </row>
    <row r="27" spans="1:14" ht="12.75" customHeight="1" x14ac:dyDescent="0.2">
      <c r="A27" s="53" t="s">
        <v>36</v>
      </c>
      <c r="B27" s="54">
        <f t="shared" si="1"/>
        <v>375</v>
      </c>
      <c r="C27" s="54">
        <f t="shared" si="2"/>
        <v>179</v>
      </c>
      <c r="D27" s="54">
        <v>32</v>
      </c>
      <c r="E27" s="54">
        <v>44</v>
      </c>
      <c r="F27" s="54">
        <v>57</v>
      </c>
      <c r="G27" s="54">
        <v>46</v>
      </c>
      <c r="H27" s="54">
        <f t="shared" si="3"/>
        <v>196</v>
      </c>
      <c r="I27" s="54">
        <v>41</v>
      </c>
      <c r="J27" s="54">
        <v>39</v>
      </c>
      <c r="K27" s="54">
        <v>36</v>
      </c>
      <c r="L27" s="54">
        <v>45</v>
      </c>
      <c r="M27" s="54">
        <v>35</v>
      </c>
    </row>
    <row r="28" spans="1:14" ht="12.75" customHeight="1" x14ac:dyDescent="0.2">
      <c r="A28" s="53" t="s">
        <v>37</v>
      </c>
      <c r="B28" s="54">
        <f t="shared" si="1"/>
        <v>297</v>
      </c>
      <c r="C28" s="54">
        <f t="shared" si="2"/>
        <v>297</v>
      </c>
      <c r="D28" s="54">
        <f>38+29</f>
        <v>67</v>
      </c>
      <c r="E28" s="54">
        <f>39+41</f>
        <v>80</v>
      </c>
      <c r="F28" s="54">
        <f>39+31</f>
        <v>70</v>
      </c>
      <c r="G28" s="54">
        <f>45+35</f>
        <v>80</v>
      </c>
      <c r="H28" s="54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1:14" ht="12.75" customHeight="1" x14ac:dyDescent="0.2">
      <c r="A29" s="53" t="s">
        <v>38</v>
      </c>
      <c r="B29" s="54">
        <f t="shared" si="1"/>
        <v>395</v>
      </c>
      <c r="C29" s="54">
        <f t="shared" si="2"/>
        <v>283</v>
      </c>
      <c r="D29" s="54">
        <v>66</v>
      </c>
      <c r="E29" s="54">
        <v>81</v>
      </c>
      <c r="F29" s="54">
        <v>70</v>
      </c>
      <c r="G29" s="54">
        <v>66</v>
      </c>
      <c r="H29" s="54">
        <f t="shared" ref="H29:H36" si="4">SUM(I29:M29)</f>
        <v>112</v>
      </c>
      <c r="I29" s="54">
        <v>24</v>
      </c>
      <c r="J29" s="54">
        <v>20</v>
      </c>
      <c r="K29" s="54">
        <v>22</v>
      </c>
      <c r="L29" s="54">
        <v>18</v>
      </c>
      <c r="M29" s="54">
        <v>28</v>
      </c>
    </row>
    <row r="30" spans="1:14" ht="12.75" customHeight="1" x14ac:dyDescent="0.2">
      <c r="A30" s="53" t="s">
        <v>39</v>
      </c>
      <c r="B30" s="54">
        <f t="shared" si="1"/>
        <v>1027</v>
      </c>
      <c r="C30" s="54">
        <f t="shared" si="2"/>
        <v>889</v>
      </c>
      <c r="D30" s="54">
        <v>238</v>
      </c>
      <c r="E30" s="54">
        <v>199</v>
      </c>
      <c r="F30" s="54">
        <v>220</v>
      </c>
      <c r="G30" s="54">
        <v>232</v>
      </c>
      <c r="H30" s="54">
        <f t="shared" si="4"/>
        <v>138</v>
      </c>
      <c r="I30" s="54">
        <v>21</v>
      </c>
      <c r="J30" s="54">
        <v>20</v>
      </c>
      <c r="K30" s="54">
        <v>33</v>
      </c>
      <c r="L30" s="54">
        <v>32</v>
      </c>
      <c r="M30" s="54">
        <v>32</v>
      </c>
    </row>
    <row r="31" spans="1:14" ht="12.75" customHeight="1" x14ac:dyDescent="0.2">
      <c r="A31" s="53" t="s">
        <v>40</v>
      </c>
      <c r="B31" s="54">
        <f t="shared" si="1"/>
        <v>457</v>
      </c>
      <c r="C31" s="54">
        <f t="shared" si="2"/>
        <v>332</v>
      </c>
      <c r="D31" s="54">
        <v>77</v>
      </c>
      <c r="E31" s="54">
        <v>78</v>
      </c>
      <c r="F31" s="54">
        <v>81</v>
      </c>
      <c r="G31" s="54">
        <v>96</v>
      </c>
      <c r="H31" s="54">
        <f t="shared" si="4"/>
        <v>125</v>
      </c>
      <c r="I31" s="54">
        <v>26</v>
      </c>
      <c r="J31" s="54">
        <v>19</v>
      </c>
      <c r="K31" s="54">
        <v>26</v>
      </c>
      <c r="L31" s="54">
        <v>20</v>
      </c>
      <c r="M31" s="54">
        <v>34</v>
      </c>
    </row>
    <row r="32" spans="1:14" ht="12.75" customHeight="1" x14ac:dyDescent="0.2">
      <c r="A32" s="53" t="s">
        <v>41</v>
      </c>
      <c r="B32" s="54">
        <f t="shared" si="1"/>
        <v>682</v>
      </c>
      <c r="C32" s="54">
        <f t="shared" si="2"/>
        <v>495</v>
      </c>
      <c r="D32" s="54">
        <f>65+64</f>
        <v>129</v>
      </c>
      <c r="E32" s="54">
        <f>50+69</f>
        <v>119</v>
      </c>
      <c r="F32" s="54">
        <f>54+68</f>
        <v>122</v>
      </c>
      <c r="G32" s="54">
        <f>65+60</f>
        <v>125</v>
      </c>
      <c r="H32" s="54">
        <f t="shared" si="4"/>
        <v>187</v>
      </c>
      <c r="I32" s="54">
        <v>32</v>
      </c>
      <c r="J32" s="54">
        <v>33</v>
      </c>
      <c r="K32" s="54">
        <v>32</v>
      </c>
      <c r="L32" s="54">
        <v>37</v>
      </c>
      <c r="M32" s="54">
        <f>39+14</f>
        <v>53</v>
      </c>
    </row>
    <row r="33" spans="1:14" ht="12.75" customHeight="1" x14ac:dyDescent="0.2">
      <c r="A33" s="53" t="s">
        <v>42</v>
      </c>
      <c r="B33" s="54">
        <f t="shared" si="1"/>
        <v>1645</v>
      </c>
      <c r="C33" s="54">
        <f t="shared" si="2"/>
        <v>1309</v>
      </c>
      <c r="D33" s="54">
        <f>341-34</f>
        <v>307</v>
      </c>
      <c r="E33" s="54">
        <f>353-42</f>
        <v>311</v>
      </c>
      <c r="F33" s="54">
        <f>391+13-46</f>
        <v>358</v>
      </c>
      <c r="G33" s="54">
        <f>363+18-48</f>
        <v>333</v>
      </c>
      <c r="H33" s="54">
        <f t="shared" si="4"/>
        <v>336</v>
      </c>
      <c r="I33" s="54">
        <v>59</v>
      </c>
      <c r="J33" s="54">
        <v>47</v>
      </c>
      <c r="K33" s="54">
        <v>52</v>
      </c>
      <c r="L33" s="54">
        <v>64</v>
      </c>
      <c r="M33" s="54">
        <f>74+40</f>
        <v>114</v>
      </c>
      <c r="N33" s="54"/>
    </row>
    <row r="34" spans="1:14" ht="12.75" customHeight="1" x14ac:dyDescent="0.2">
      <c r="A34" s="53" t="s">
        <v>43</v>
      </c>
      <c r="B34" s="54">
        <f t="shared" si="1"/>
        <v>377</v>
      </c>
      <c r="C34" s="54">
        <f t="shared" si="2"/>
        <v>260</v>
      </c>
      <c r="D34" s="54">
        <v>67</v>
      </c>
      <c r="E34" s="54">
        <v>66</v>
      </c>
      <c r="F34" s="54">
        <v>72</v>
      </c>
      <c r="G34" s="54">
        <v>55</v>
      </c>
      <c r="H34" s="54">
        <f t="shared" si="4"/>
        <v>117</v>
      </c>
      <c r="I34" s="54">
        <v>29</v>
      </c>
      <c r="J34" s="54">
        <v>32</v>
      </c>
      <c r="K34" s="54">
        <v>23</v>
      </c>
      <c r="L34" s="54">
        <v>24</v>
      </c>
      <c r="M34" s="54">
        <v>9</v>
      </c>
    </row>
    <row r="35" spans="1:14" ht="12.75" customHeight="1" x14ac:dyDescent="0.2">
      <c r="A35" s="53" t="s">
        <v>44</v>
      </c>
      <c r="B35" s="54">
        <f t="shared" si="1"/>
        <v>1492</v>
      </c>
      <c r="C35" s="54">
        <f t="shared" si="2"/>
        <v>1224</v>
      </c>
      <c r="D35" s="54">
        <v>297</v>
      </c>
      <c r="E35" s="54">
        <v>273</v>
      </c>
      <c r="F35" s="54">
        <v>319</v>
      </c>
      <c r="G35" s="54">
        <v>335</v>
      </c>
      <c r="H35" s="54">
        <f t="shared" si="4"/>
        <v>268</v>
      </c>
      <c r="I35" s="54">
        <v>64</v>
      </c>
      <c r="J35" s="54">
        <v>45</v>
      </c>
      <c r="K35" s="54">
        <v>57</v>
      </c>
      <c r="L35" s="54">
        <v>56</v>
      </c>
      <c r="M35" s="54">
        <v>46</v>
      </c>
    </row>
    <row r="36" spans="1:14" ht="12.75" customHeight="1" x14ac:dyDescent="0.2">
      <c r="A36" s="53" t="s">
        <v>45</v>
      </c>
      <c r="B36" s="54">
        <f t="shared" si="1"/>
        <v>1687</v>
      </c>
      <c r="C36" s="54">
        <f t="shared" si="2"/>
        <v>1274</v>
      </c>
      <c r="D36" s="54">
        <v>299</v>
      </c>
      <c r="E36" s="54">
        <v>307</v>
      </c>
      <c r="F36" s="54">
        <v>330</v>
      </c>
      <c r="G36" s="54">
        <v>338</v>
      </c>
      <c r="H36" s="54">
        <f t="shared" si="4"/>
        <v>413</v>
      </c>
      <c r="I36" s="54">
        <v>90</v>
      </c>
      <c r="J36" s="54">
        <v>82</v>
      </c>
      <c r="K36" s="54">
        <v>79</v>
      </c>
      <c r="L36" s="54">
        <v>94</v>
      </c>
      <c r="M36" s="54">
        <v>68</v>
      </c>
    </row>
    <row r="37" spans="1:14" ht="12.75" customHeight="1" x14ac:dyDescent="0.2">
      <c r="A37" s="55" t="s">
        <v>46</v>
      </c>
      <c r="B37" s="54">
        <f t="shared" ref="B37:M37" si="5">SUM(B19:B36)</f>
        <v>16221</v>
      </c>
      <c r="C37" s="54">
        <f t="shared" si="5"/>
        <v>12511</v>
      </c>
      <c r="D37" s="54">
        <f t="shared" si="5"/>
        <v>3009</v>
      </c>
      <c r="E37" s="54">
        <f t="shared" si="5"/>
        <v>3072</v>
      </c>
      <c r="F37" s="54">
        <f t="shared" si="5"/>
        <v>3195</v>
      </c>
      <c r="G37" s="54">
        <f t="shared" si="5"/>
        <v>3235</v>
      </c>
      <c r="H37" s="54">
        <f t="shared" si="5"/>
        <v>3710</v>
      </c>
      <c r="I37" s="54">
        <f t="shared" si="5"/>
        <v>735</v>
      </c>
      <c r="J37" s="54">
        <f t="shared" si="5"/>
        <v>656</v>
      </c>
      <c r="K37" s="54">
        <f t="shared" si="5"/>
        <v>687</v>
      </c>
      <c r="L37" s="54">
        <f t="shared" si="5"/>
        <v>763</v>
      </c>
      <c r="M37" s="54">
        <f t="shared" si="5"/>
        <v>869</v>
      </c>
    </row>
    <row r="38" spans="1:14" ht="6" customHeight="1" x14ac:dyDescent="0.2">
      <c r="A38" s="53"/>
      <c r="B38" s="54"/>
      <c r="C38" s="54"/>
      <c r="H38" s="54"/>
    </row>
    <row r="39" spans="1:14" ht="12.75" customHeight="1" x14ac:dyDescent="0.2">
      <c r="A39" s="55" t="s">
        <v>47</v>
      </c>
      <c r="B39" s="56">
        <f t="shared" ref="B39:M39" si="6">+B17+B37</f>
        <v>21757</v>
      </c>
      <c r="C39" s="56">
        <f t="shared" si="6"/>
        <v>16651</v>
      </c>
      <c r="D39" s="56">
        <f t="shared" si="6"/>
        <v>4061</v>
      </c>
      <c r="E39" s="56">
        <f t="shared" si="6"/>
        <v>4093</v>
      </c>
      <c r="F39" s="56">
        <f t="shared" si="6"/>
        <v>4246</v>
      </c>
      <c r="G39" s="56">
        <f t="shared" si="6"/>
        <v>4251</v>
      </c>
      <c r="H39" s="56">
        <f t="shared" si="6"/>
        <v>5106</v>
      </c>
      <c r="I39" s="56">
        <f t="shared" si="6"/>
        <v>986</v>
      </c>
      <c r="J39" s="56">
        <f t="shared" si="6"/>
        <v>903</v>
      </c>
      <c r="K39" s="56">
        <f t="shared" si="6"/>
        <v>945</v>
      </c>
      <c r="L39" s="56">
        <f t="shared" si="6"/>
        <v>1034</v>
      </c>
      <c r="M39" s="56">
        <f t="shared" si="6"/>
        <v>1238</v>
      </c>
    </row>
    <row r="40" spans="1:14" s="66" customFormat="1" ht="12.75" customHeight="1" x14ac:dyDescent="0.25">
      <c r="A40" s="64" t="s">
        <v>75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1:14" ht="12.75" customHeight="1" x14ac:dyDescent="0.2">
      <c r="A41" s="59" t="s">
        <v>83</v>
      </c>
      <c r="B41" s="58"/>
      <c r="C41" s="58"/>
      <c r="D41" s="58"/>
    </row>
    <row r="42" spans="1:14" ht="6" customHeight="1" x14ac:dyDescent="0.2">
      <c r="A42" s="58"/>
      <c r="B42" s="58"/>
      <c r="C42" s="58"/>
      <c r="D42" s="58"/>
    </row>
    <row r="43" spans="1:14" ht="12.75" customHeight="1" x14ac:dyDescent="0.2">
      <c r="A43" s="60" t="s">
        <v>78</v>
      </c>
      <c r="B43" s="58"/>
      <c r="C43" s="58"/>
      <c r="D43" s="58"/>
    </row>
    <row r="65" spans="1:1" ht="10.199999999999999" x14ac:dyDescent="0.2">
      <c r="A65" s="45"/>
    </row>
    <row r="66" spans="1:1" ht="10.199999999999999" x14ac:dyDescent="0.2"/>
  </sheetData>
  <mergeCells count="6">
    <mergeCell ref="I7:M9"/>
    <mergeCell ref="H7:H10"/>
    <mergeCell ref="A6:A10"/>
    <mergeCell ref="B6:B10"/>
    <mergeCell ref="C7:C10"/>
    <mergeCell ref="D7:G9"/>
  </mergeCells>
  <phoneticPr fontId="5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>
      <selection activeCell="A4" sqref="A4"/>
    </sheetView>
  </sheetViews>
  <sheetFormatPr baseColWidth="10" defaultColWidth="8.42578125" defaultRowHeight="12.75" customHeight="1" x14ac:dyDescent="0.2"/>
  <cols>
    <col min="1" max="1" width="21.7109375" style="20" customWidth="1"/>
    <col min="2" max="13" width="8" style="20" customWidth="1"/>
    <col min="14" max="14" width="0.140625" style="20" customWidth="1"/>
    <col min="15" max="15" width="0.42578125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12.75" customHeight="1" x14ac:dyDescent="0.25">
      <c r="A3" s="68" t="s">
        <v>105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5">
      <c r="A4" s="67" t="s">
        <v>81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ht="12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4" ht="12.75" customHeight="1" thickBot="1" x14ac:dyDescent="0.25">
      <c r="A6" s="80" t="s">
        <v>8</v>
      </c>
      <c r="B6" s="80" t="s">
        <v>82</v>
      </c>
      <c r="C6" s="47" t="s">
        <v>4</v>
      </c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4" ht="12.75" customHeight="1" thickBot="1" x14ac:dyDescent="0.25">
      <c r="A7" s="77"/>
      <c r="B7" s="77"/>
      <c r="C7" s="82" t="s">
        <v>85</v>
      </c>
      <c r="D7" s="77" t="s">
        <v>77</v>
      </c>
      <c r="E7" s="78"/>
      <c r="F7" s="78"/>
      <c r="G7" s="78"/>
      <c r="H7" s="82" t="s">
        <v>88</v>
      </c>
      <c r="I7" s="77" t="s">
        <v>77</v>
      </c>
      <c r="J7" s="78"/>
      <c r="K7" s="78"/>
      <c r="L7" s="78"/>
      <c r="M7" s="79"/>
    </row>
    <row r="8" spans="1:14" ht="12.75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2.75" customHeight="1" thickBot="1" x14ac:dyDescent="0.25">
      <c r="A9" s="77"/>
      <c r="B9" s="77"/>
      <c r="C9" s="77"/>
      <c r="D9" s="78"/>
      <c r="E9" s="78"/>
      <c r="F9" s="78"/>
      <c r="G9" s="78"/>
      <c r="H9" s="77"/>
      <c r="I9" s="78"/>
      <c r="J9" s="78"/>
      <c r="K9" s="78"/>
      <c r="L9" s="78"/>
      <c r="M9" s="79"/>
    </row>
    <row r="10" spans="1:14" ht="12.75" customHeight="1" thickBot="1" x14ac:dyDescent="0.25">
      <c r="A10" s="77"/>
      <c r="B10" s="77"/>
      <c r="C10" s="77"/>
      <c r="D10" s="61">
        <v>1</v>
      </c>
      <c r="E10" s="61">
        <v>2</v>
      </c>
      <c r="F10" s="61">
        <v>3</v>
      </c>
      <c r="G10" s="62">
        <v>4</v>
      </c>
      <c r="H10" s="77"/>
      <c r="I10" s="61">
        <v>5</v>
      </c>
      <c r="J10" s="61">
        <v>6</v>
      </c>
      <c r="K10" s="61">
        <v>7</v>
      </c>
      <c r="L10" s="61">
        <v>8</v>
      </c>
      <c r="M10" s="51" t="s">
        <v>21</v>
      </c>
    </row>
    <row r="11" spans="1:14" ht="12.75" customHeight="1" x14ac:dyDescent="0.2">
      <c r="A11" s="52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63" t="s">
        <v>76</v>
      </c>
    </row>
    <row r="12" spans="1:14" ht="12.75" customHeight="1" x14ac:dyDescent="0.2">
      <c r="A12" s="53" t="s">
        <v>22</v>
      </c>
      <c r="B12" s="54">
        <f>C12+H12</f>
        <v>195</v>
      </c>
      <c r="C12" s="54">
        <f>SUM(D12:G12)</f>
        <v>195</v>
      </c>
      <c r="D12" s="54">
        <v>46</v>
      </c>
      <c r="E12" s="54">
        <v>41</v>
      </c>
      <c r="F12" s="54">
        <v>60</v>
      </c>
      <c r="G12" s="54">
        <v>48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4" ht="12.75" customHeight="1" x14ac:dyDescent="0.2">
      <c r="A13" s="53" t="s">
        <v>23</v>
      </c>
      <c r="B13" s="54">
        <f>C13+H13</f>
        <v>1083</v>
      </c>
      <c r="C13" s="54">
        <f>SUM(D13:G13)</f>
        <v>924</v>
      </c>
      <c r="D13" s="54">
        <v>218</v>
      </c>
      <c r="E13" s="54">
        <v>251</v>
      </c>
      <c r="F13" s="54">
        <v>221</v>
      </c>
      <c r="G13" s="54">
        <v>234</v>
      </c>
      <c r="H13" s="54">
        <f>I13+J13+K13+L13+M13</f>
        <v>159</v>
      </c>
      <c r="I13" s="54">
        <v>33</v>
      </c>
      <c r="J13" s="54">
        <v>33</v>
      </c>
      <c r="K13" s="54">
        <v>42</v>
      </c>
      <c r="L13" s="54">
        <v>15</v>
      </c>
      <c r="M13" s="54">
        <v>36</v>
      </c>
    </row>
    <row r="14" spans="1:14" ht="12.75" customHeight="1" x14ac:dyDescent="0.2">
      <c r="A14" s="53" t="s">
        <v>24</v>
      </c>
      <c r="B14" s="54">
        <f>C14+H14</f>
        <v>1827</v>
      </c>
      <c r="C14" s="54">
        <f>SUM(D14:G14)</f>
        <v>1285</v>
      </c>
      <c r="D14" s="54">
        <v>293</v>
      </c>
      <c r="E14" s="54">
        <v>311</v>
      </c>
      <c r="F14" s="54">
        <v>327</v>
      </c>
      <c r="G14" s="54">
        <v>354</v>
      </c>
      <c r="H14" s="54">
        <f>I14+J14+K14+L14+M14</f>
        <v>542</v>
      </c>
      <c r="I14" s="54">
        <v>114</v>
      </c>
      <c r="J14" s="54">
        <v>95</v>
      </c>
      <c r="K14" s="54">
        <v>92</v>
      </c>
      <c r="L14" s="54">
        <v>102</v>
      </c>
      <c r="M14" s="54">
        <v>139</v>
      </c>
      <c r="N14" s="54">
        <v>1</v>
      </c>
    </row>
    <row r="15" spans="1:14" ht="12.75" customHeight="1" x14ac:dyDescent="0.2">
      <c r="A15" s="53" t="s">
        <v>25</v>
      </c>
      <c r="B15" s="54">
        <f>C15+H15</f>
        <v>1338</v>
      </c>
      <c r="C15" s="54">
        <f>SUM(D15:G15)</f>
        <v>947</v>
      </c>
      <c r="D15" s="54">
        <v>210</v>
      </c>
      <c r="E15" s="54">
        <v>241</v>
      </c>
      <c r="F15" s="54">
        <v>254</v>
      </c>
      <c r="G15" s="54">
        <v>242</v>
      </c>
      <c r="H15" s="54">
        <f>I15+J15+K15+L15+M15</f>
        <v>391</v>
      </c>
      <c r="I15" s="21">
        <v>63</v>
      </c>
      <c r="J15" s="21">
        <v>78</v>
      </c>
      <c r="K15" s="21">
        <v>61</v>
      </c>
      <c r="L15" s="21">
        <v>81</v>
      </c>
      <c r="M15" s="21">
        <v>108</v>
      </c>
    </row>
    <row r="16" spans="1:14" ht="12.75" customHeight="1" x14ac:dyDescent="0.2">
      <c r="A16" s="53" t="s">
        <v>26</v>
      </c>
      <c r="B16" s="54">
        <f>C16+H16</f>
        <v>1249</v>
      </c>
      <c r="C16" s="54">
        <f>SUM(D16:G16)</f>
        <v>854</v>
      </c>
      <c r="D16" s="54">
        <v>222</v>
      </c>
      <c r="E16" s="54">
        <v>204</v>
      </c>
      <c r="F16" s="54">
        <v>220</v>
      </c>
      <c r="G16" s="54">
        <v>208</v>
      </c>
      <c r="H16" s="54">
        <f>I16+J16+K16+L16+M16</f>
        <v>395</v>
      </c>
      <c r="I16" s="21">
        <v>48</v>
      </c>
      <c r="J16" s="21">
        <v>61</v>
      </c>
      <c r="K16" s="21">
        <v>74</v>
      </c>
      <c r="L16" s="21">
        <v>74</v>
      </c>
      <c r="M16" s="20">
        <v>138</v>
      </c>
    </row>
    <row r="17" spans="1:14" ht="12.75" customHeight="1" x14ac:dyDescent="0.2">
      <c r="A17" s="55" t="s">
        <v>27</v>
      </c>
      <c r="B17" s="54">
        <f t="shared" ref="B17:M17" si="0">SUM(B12:B16)</f>
        <v>5692</v>
      </c>
      <c r="C17" s="54">
        <f t="shared" si="0"/>
        <v>4205</v>
      </c>
      <c r="D17" s="54">
        <f t="shared" si="0"/>
        <v>989</v>
      </c>
      <c r="E17" s="54">
        <f t="shared" si="0"/>
        <v>1048</v>
      </c>
      <c r="F17" s="54">
        <f t="shared" si="0"/>
        <v>1082</v>
      </c>
      <c r="G17" s="54">
        <f t="shared" si="0"/>
        <v>1086</v>
      </c>
      <c r="H17" s="54">
        <f t="shared" si="0"/>
        <v>1487</v>
      </c>
      <c r="I17" s="54">
        <f t="shared" si="0"/>
        <v>258</v>
      </c>
      <c r="J17" s="54">
        <f t="shared" si="0"/>
        <v>267</v>
      </c>
      <c r="K17" s="54">
        <f t="shared" si="0"/>
        <v>269</v>
      </c>
      <c r="L17" s="54">
        <f t="shared" si="0"/>
        <v>272</v>
      </c>
      <c r="M17" s="54">
        <f t="shared" si="0"/>
        <v>421</v>
      </c>
    </row>
    <row r="18" spans="1:14" ht="6" customHeight="1" x14ac:dyDescent="0.2">
      <c r="A18" s="53"/>
      <c r="B18" s="54"/>
      <c r="C18" s="54"/>
      <c r="H18" s="54"/>
    </row>
    <row r="19" spans="1:14" ht="12.75" customHeight="1" x14ac:dyDescent="0.2">
      <c r="A19" s="53" t="s">
        <v>28</v>
      </c>
      <c r="B19" s="54">
        <f t="shared" ref="B19:B36" si="1">C19+H19</f>
        <v>2968</v>
      </c>
      <c r="C19" s="54">
        <f t="shared" ref="C19:C36" si="2">SUM(D19:G19)</f>
        <v>2312</v>
      </c>
      <c r="D19" s="54">
        <v>573</v>
      </c>
      <c r="E19" s="54">
        <v>566</v>
      </c>
      <c r="F19" s="54">
        <v>620</v>
      </c>
      <c r="G19" s="54">
        <v>553</v>
      </c>
      <c r="H19" s="54">
        <f>I19+J19+K19+L19+M19</f>
        <v>656</v>
      </c>
      <c r="I19" s="54">
        <v>129</v>
      </c>
      <c r="J19" s="54">
        <v>132</v>
      </c>
      <c r="K19" s="54">
        <v>135</v>
      </c>
      <c r="L19" s="54">
        <v>115</v>
      </c>
      <c r="M19" s="54">
        <v>145</v>
      </c>
    </row>
    <row r="20" spans="1:14" ht="12.75" customHeight="1" x14ac:dyDescent="0.2">
      <c r="A20" s="53" t="s">
        <v>29</v>
      </c>
      <c r="B20" s="54">
        <f t="shared" si="1"/>
        <v>238</v>
      </c>
      <c r="C20" s="54">
        <f t="shared" si="2"/>
        <v>238</v>
      </c>
      <c r="D20" s="54">
        <v>65</v>
      </c>
      <c r="E20" s="54">
        <v>69</v>
      </c>
      <c r="F20" s="54">
        <v>51</v>
      </c>
      <c r="G20" s="54">
        <v>53</v>
      </c>
      <c r="H20" s="54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4" ht="12.75" customHeight="1" x14ac:dyDescent="0.2">
      <c r="A21" s="53" t="s">
        <v>30</v>
      </c>
      <c r="B21" s="54">
        <f t="shared" si="1"/>
        <v>401</v>
      </c>
      <c r="C21" s="54">
        <f t="shared" si="2"/>
        <v>401</v>
      </c>
      <c r="D21" s="54">
        <v>90</v>
      </c>
      <c r="E21" s="54">
        <v>109</v>
      </c>
      <c r="F21" s="54">
        <v>99</v>
      </c>
      <c r="G21" s="54">
        <v>103</v>
      </c>
      <c r="H21" s="54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1:14" ht="12.75" customHeight="1" x14ac:dyDescent="0.2">
      <c r="A22" s="53" t="s">
        <v>31</v>
      </c>
      <c r="B22" s="54">
        <f t="shared" si="1"/>
        <v>621</v>
      </c>
      <c r="C22" s="54">
        <f t="shared" si="2"/>
        <v>537</v>
      </c>
      <c r="D22" s="54">
        <v>152</v>
      </c>
      <c r="E22" s="54">
        <v>129</v>
      </c>
      <c r="F22" s="54">
        <v>123</v>
      </c>
      <c r="G22" s="54">
        <v>133</v>
      </c>
      <c r="H22" s="54">
        <f t="shared" ref="H22:H27" si="3">SUM(I22:M22)</f>
        <v>84</v>
      </c>
      <c r="I22" s="54">
        <v>12</v>
      </c>
      <c r="J22" s="54">
        <v>16</v>
      </c>
      <c r="K22" s="54">
        <v>19</v>
      </c>
      <c r="L22" s="54">
        <v>18</v>
      </c>
      <c r="M22" s="54">
        <v>19</v>
      </c>
    </row>
    <row r="23" spans="1:14" ht="12.75" customHeight="1" x14ac:dyDescent="0.2">
      <c r="A23" s="53" t="s">
        <v>32</v>
      </c>
      <c r="B23" s="54">
        <f t="shared" si="1"/>
        <v>1092</v>
      </c>
      <c r="C23" s="54">
        <f t="shared" si="2"/>
        <v>834</v>
      </c>
      <c r="D23" s="54">
        <v>198</v>
      </c>
      <c r="E23" s="54">
        <v>187</v>
      </c>
      <c r="F23" s="54">
        <v>216</v>
      </c>
      <c r="G23" s="54">
        <v>233</v>
      </c>
      <c r="H23" s="54">
        <f t="shared" si="3"/>
        <v>258</v>
      </c>
      <c r="I23" s="54">
        <v>37</v>
      </c>
      <c r="J23" s="54">
        <v>38</v>
      </c>
      <c r="K23" s="54">
        <v>40</v>
      </c>
      <c r="L23" s="54">
        <v>43</v>
      </c>
      <c r="M23" s="54">
        <v>100</v>
      </c>
      <c r="N23" s="54"/>
    </row>
    <row r="24" spans="1:14" ht="12.75" customHeight="1" x14ac:dyDescent="0.2">
      <c r="A24" s="53" t="s">
        <v>33</v>
      </c>
      <c r="B24" s="54">
        <f t="shared" si="1"/>
        <v>460</v>
      </c>
      <c r="C24" s="54">
        <f t="shared" si="2"/>
        <v>267</v>
      </c>
      <c r="D24" s="54">
        <v>64</v>
      </c>
      <c r="E24" s="54">
        <v>58</v>
      </c>
      <c r="F24" s="54">
        <v>81</v>
      </c>
      <c r="G24" s="54">
        <v>64</v>
      </c>
      <c r="H24" s="54">
        <f t="shared" si="3"/>
        <v>193</v>
      </c>
      <c r="I24" s="54">
        <v>30</v>
      </c>
      <c r="J24" s="54">
        <v>31</v>
      </c>
      <c r="K24" s="54">
        <v>29</v>
      </c>
      <c r="L24" s="54">
        <v>24</v>
      </c>
      <c r="M24" s="54">
        <v>79</v>
      </c>
      <c r="N24" s="54">
        <v>36</v>
      </c>
    </row>
    <row r="25" spans="1:14" ht="12.75" customHeight="1" x14ac:dyDescent="0.2">
      <c r="A25" s="53" t="s">
        <v>34</v>
      </c>
      <c r="B25" s="54">
        <f t="shared" si="1"/>
        <v>987</v>
      </c>
      <c r="C25" s="54">
        <f t="shared" si="2"/>
        <v>753</v>
      </c>
      <c r="D25" s="54">
        <v>192</v>
      </c>
      <c r="E25" s="54">
        <v>186</v>
      </c>
      <c r="F25" s="54">
        <v>195</v>
      </c>
      <c r="G25" s="54">
        <v>180</v>
      </c>
      <c r="H25" s="54">
        <f t="shared" si="3"/>
        <v>234</v>
      </c>
      <c r="I25" s="54">
        <v>43</v>
      </c>
      <c r="J25" s="54">
        <v>43</v>
      </c>
      <c r="K25" s="54">
        <v>42</v>
      </c>
      <c r="L25" s="54">
        <v>57</v>
      </c>
      <c r="M25" s="54">
        <v>49</v>
      </c>
    </row>
    <row r="26" spans="1:14" ht="12.75" customHeight="1" x14ac:dyDescent="0.2">
      <c r="A26" s="53" t="s">
        <v>35</v>
      </c>
      <c r="B26" s="54">
        <f t="shared" si="1"/>
        <v>1218</v>
      </c>
      <c r="C26" s="54">
        <f t="shared" si="2"/>
        <v>810</v>
      </c>
      <c r="D26" s="54">
        <v>194</v>
      </c>
      <c r="E26" s="54">
        <v>188</v>
      </c>
      <c r="F26" s="54">
        <v>205</v>
      </c>
      <c r="G26" s="54">
        <v>223</v>
      </c>
      <c r="H26" s="54">
        <f t="shared" si="3"/>
        <v>408</v>
      </c>
      <c r="I26" s="54">
        <v>80</v>
      </c>
      <c r="J26" s="54">
        <v>68</v>
      </c>
      <c r="K26" s="54">
        <v>89</v>
      </c>
      <c r="L26" s="54">
        <v>68</v>
      </c>
      <c r="M26" s="54">
        <v>103</v>
      </c>
    </row>
    <row r="27" spans="1:14" ht="12.75" customHeight="1" x14ac:dyDescent="0.2">
      <c r="A27" s="53" t="s">
        <v>36</v>
      </c>
      <c r="B27" s="54">
        <f t="shared" si="1"/>
        <v>373</v>
      </c>
      <c r="C27" s="54">
        <f t="shared" si="2"/>
        <v>193</v>
      </c>
      <c r="D27" s="54">
        <v>33</v>
      </c>
      <c r="E27" s="54">
        <v>53</v>
      </c>
      <c r="F27" s="54">
        <v>43</v>
      </c>
      <c r="G27" s="54">
        <v>64</v>
      </c>
      <c r="H27" s="54">
        <f t="shared" si="3"/>
        <v>180</v>
      </c>
      <c r="I27" s="54">
        <v>36</v>
      </c>
      <c r="J27" s="54">
        <v>35</v>
      </c>
      <c r="K27" s="54">
        <v>34</v>
      </c>
      <c r="L27" s="54">
        <v>36</v>
      </c>
      <c r="M27" s="54">
        <v>39</v>
      </c>
    </row>
    <row r="28" spans="1:14" ht="12.75" customHeight="1" x14ac:dyDescent="0.2">
      <c r="A28" s="53" t="s">
        <v>37</v>
      </c>
      <c r="B28" s="54">
        <f t="shared" si="1"/>
        <v>318</v>
      </c>
      <c r="C28" s="54">
        <f t="shared" si="2"/>
        <v>318</v>
      </c>
      <c r="D28" s="54">
        <v>77</v>
      </c>
      <c r="E28" s="54">
        <v>74</v>
      </c>
      <c r="F28" s="54">
        <v>83</v>
      </c>
      <c r="G28" s="54">
        <v>84</v>
      </c>
      <c r="H28" s="54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1:14" ht="12.75" customHeight="1" x14ac:dyDescent="0.2">
      <c r="A29" s="53" t="s">
        <v>38</v>
      </c>
      <c r="B29" s="54">
        <f t="shared" si="1"/>
        <v>397</v>
      </c>
      <c r="C29" s="54">
        <f t="shared" si="2"/>
        <v>289</v>
      </c>
      <c r="D29" s="54">
        <v>78</v>
      </c>
      <c r="E29" s="54">
        <v>73</v>
      </c>
      <c r="F29" s="54">
        <v>66</v>
      </c>
      <c r="G29" s="54">
        <v>72</v>
      </c>
      <c r="H29" s="54">
        <f t="shared" ref="H29:H36" si="4">SUM(I29:M29)</f>
        <v>108</v>
      </c>
      <c r="I29" s="54">
        <v>20</v>
      </c>
      <c r="J29" s="54">
        <v>22</v>
      </c>
      <c r="K29" s="54">
        <v>21</v>
      </c>
      <c r="L29" s="54">
        <v>25</v>
      </c>
      <c r="M29" s="54">
        <v>20</v>
      </c>
    </row>
    <row r="30" spans="1:14" ht="12.75" customHeight="1" x14ac:dyDescent="0.2">
      <c r="A30" s="53" t="s">
        <v>39</v>
      </c>
      <c r="B30" s="54">
        <f t="shared" si="1"/>
        <v>1005</v>
      </c>
      <c r="C30" s="54">
        <f t="shared" si="2"/>
        <v>862</v>
      </c>
      <c r="D30" s="54">
        <v>196</v>
      </c>
      <c r="E30" s="54">
        <v>199</v>
      </c>
      <c r="F30" s="54">
        <v>241</v>
      </c>
      <c r="G30" s="54">
        <v>226</v>
      </c>
      <c r="H30" s="54">
        <f t="shared" si="4"/>
        <v>143</v>
      </c>
      <c r="I30" s="54">
        <v>20</v>
      </c>
      <c r="J30" s="54">
        <v>33</v>
      </c>
      <c r="K30" s="54">
        <v>33</v>
      </c>
      <c r="L30" s="54">
        <v>35</v>
      </c>
      <c r="M30" s="54">
        <v>22</v>
      </c>
    </row>
    <row r="31" spans="1:14" ht="12.75" customHeight="1" x14ac:dyDescent="0.2">
      <c r="A31" s="53" t="s">
        <v>40</v>
      </c>
      <c r="B31" s="54">
        <f t="shared" si="1"/>
        <v>497</v>
      </c>
      <c r="C31" s="54">
        <f t="shared" si="2"/>
        <v>351</v>
      </c>
      <c r="D31" s="54">
        <v>79</v>
      </c>
      <c r="E31" s="54">
        <v>82</v>
      </c>
      <c r="F31" s="54">
        <v>94</v>
      </c>
      <c r="G31" s="54">
        <v>96</v>
      </c>
      <c r="H31" s="54">
        <f t="shared" si="4"/>
        <v>146</v>
      </c>
      <c r="I31" s="54">
        <v>27</v>
      </c>
      <c r="J31" s="54">
        <v>35</v>
      </c>
      <c r="K31" s="54">
        <v>24</v>
      </c>
      <c r="L31" s="54">
        <v>34</v>
      </c>
      <c r="M31" s="54">
        <v>26</v>
      </c>
    </row>
    <row r="32" spans="1:14" ht="12.75" customHeight="1" x14ac:dyDescent="0.2">
      <c r="A32" s="53" t="s">
        <v>41</v>
      </c>
      <c r="B32" s="54">
        <f t="shared" si="1"/>
        <v>696</v>
      </c>
      <c r="C32" s="54">
        <f t="shared" si="2"/>
        <v>495</v>
      </c>
      <c r="D32" s="54">
        <v>123</v>
      </c>
      <c r="E32" s="54">
        <v>119</v>
      </c>
      <c r="F32" s="54">
        <v>131</v>
      </c>
      <c r="G32" s="54">
        <v>122</v>
      </c>
      <c r="H32" s="54">
        <f t="shared" si="4"/>
        <v>201</v>
      </c>
      <c r="I32" s="54">
        <v>32</v>
      </c>
      <c r="J32" s="54">
        <v>33</v>
      </c>
      <c r="K32" s="54">
        <v>40</v>
      </c>
      <c r="L32" s="54">
        <v>46</v>
      </c>
      <c r="M32" s="54">
        <v>50</v>
      </c>
    </row>
    <row r="33" spans="1:14" ht="12.75" customHeight="1" x14ac:dyDescent="0.2">
      <c r="A33" s="53" t="s">
        <v>42</v>
      </c>
      <c r="B33" s="54">
        <f t="shared" si="1"/>
        <v>1691</v>
      </c>
      <c r="C33" s="54">
        <f t="shared" si="2"/>
        <v>1370</v>
      </c>
      <c r="D33" s="54">
        <v>316</v>
      </c>
      <c r="E33" s="54">
        <v>348</v>
      </c>
      <c r="F33" s="54">
        <v>350</v>
      </c>
      <c r="G33" s="54">
        <v>356</v>
      </c>
      <c r="H33" s="54">
        <f t="shared" si="4"/>
        <v>321</v>
      </c>
      <c r="I33" s="54">
        <v>45</v>
      </c>
      <c r="J33" s="54">
        <v>41</v>
      </c>
      <c r="K33" s="54">
        <v>62</v>
      </c>
      <c r="L33" s="54">
        <v>79</v>
      </c>
      <c r="M33" s="54">
        <v>94</v>
      </c>
      <c r="N33" s="54"/>
    </row>
    <row r="34" spans="1:14" ht="12.75" customHeight="1" x14ac:dyDescent="0.2">
      <c r="A34" s="53" t="s">
        <v>43</v>
      </c>
      <c r="B34" s="54">
        <f t="shared" si="1"/>
        <v>393</v>
      </c>
      <c r="C34" s="54">
        <f t="shared" si="2"/>
        <v>264</v>
      </c>
      <c r="D34" s="54">
        <v>66</v>
      </c>
      <c r="E34" s="54">
        <v>75</v>
      </c>
      <c r="F34" s="54">
        <v>57</v>
      </c>
      <c r="G34" s="54">
        <v>66</v>
      </c>
      <c r="H34" s="54">
        <f t="shared" si="4"/>
        <v>129</v>
      </c>
      <c r="I34" s="54">
        <v>31</v>
      </c>
      <c r="J34" s="54">
        <v>28</v>
      </c>
      <c r="K34" s="54">
        <v>24</v>
      </c>
      <c r="L34" s="54">
        <v>11</v>
      </c>
      <c r="M34" s="54">
        <v>35</v>
      </c>
    </row>
    <row r="35" spans="1:14" ht="12.75" customHeight="1" x14ac:dyDescent="0.2">
      <c r="A35" s="53" t="s">
        <v>44</v>
      </c>
      <c r="B35" s="54">
        <f t="shared" si="1"/>
        <v>1553</v>
      </c>
      <c r="C35" s="54">
        <f t="shared" si="2"/>
        <v>1274</v>
      </c>
      <c r="D35" s="54">
        <v>260</v>
      </c>
      <c r="E35" s="54">
        <v>326</v>
      </c>
      <c r="F35" s="54">
        <v>355</v>
      </c>
      <c r="G35" s="54">
        <v>333</v>
      </c>
      <c r="H35" s="54">
        <f t="shared" si="4"/>
        <v>279</v>
      </c>
      <c r="I35" s="54">
        <v>59</v>
      </c>
      <c r="J35" s="54">
        <v>61</v>
      </c>
      <c r="K35" s="54">
        <v>56</v>
      </c>
      <c r="L35" s="54">
        <v>50</v>
      </c>
      <c r="M35" s="54">
        <v>53</v>
      </c>
    </row>
    <row r="36" spans="1:14" ht="12.75" customHeight="1" x14ac:dyDescent="0.2">
      <c r="A36" s="53" t="s">
        <v>45</v>
      </c>
      <c r="B36" s="54">
        <f t="shared" si="1"/>
        <v>1663</v>
      </c>
      <c r="C36" s="54">
        <f t="shared" si="2"/>
        <v>1263</v>
      </c>
      <c r="D36" s="54">
        <v>286</v>
      </c>
      <c r="E36" s="54">
        <v>315</v>
      </c>
      <c r="F36" s="54">
        <v>338</v>
      </c>
      <c r="G36" s="54">
        <v>324</v>
      </c>
      <c r="H36" s="54">
        <f t="shared" si="4"/>
        <v>400</v>
      </c>
      <c r="I36" s="54">
        <v>84</v>
      </c>
      <c r="J36" s="54">
        <v>75</v>
      </c>
      <c r="K36" s="54">
        <v>90</v>
      </c>
      <c r="L36" s="54">
        <v>71</v>
      </c>
      <c r="M36" s="54">
        <v>80</v>
      </c>
    </row>
    <row r="37" spans="1:14" ht="12.75" customHeight="1" x14ac:dyDescent="0.2">
      <c r="A37" s="55" t="s">
        <v>46</v>
      </c>
      <c r="B37" s="54">
        <f t="shared" ref="B37:H37" si="5">SUM(B19:B36)</f>
        <v>16571</v>
      </c>
      <c r="C37" s="54">
        <f t="shared" si="5"/>
        <v>12831</v>
      </c>
      <c r="D37" s="54">
        <f t="shared" si="5"/>
        <v>3042</v>
      </c>
      <c r="E37" s="54">
        <f t="shared" si="5"/>
        <v>3156</v>
      </c>
      <c r="F37" s="54">
        <f t="shared" si="5"/>
        <v>3348</v>
      </c>
      <c r="G37" s="54">
        <f t="shared" si="5"/>
        <v>3285</v>
      </c>
      <c r="H37" s="54">
        <f t="shared" si="5"/>
        <v>3740</v>
      </c>
      <c r="I37" s="54">
        <f>SUM(I19:I36)</f>
        <v>685</v>
      </c>
      <c r="J37" s="54">
        <f>SUM(J19:J36)</f>
        <v>691</v>
      </c>
      <c r="K37" s="54">
        <f>SUM(K19:K36)</f>
        <v>738</v>
      </c>
      <c r="L37" s="54">
        <f>SUM(L19:L36)</f>
        <v>712</v>
      </c>
      <c r="M37" s="54">
        <f>SUM(M19:M36)</f>
        <v>914</v>
      </c>
    </row>
    <row r="38" spans="1:14" ht="6" customHeight="1" x14ac:dyDescent="0.2">
      <c r="A38" s="53"/>
      <c r="B38" s="54"/>
      <c r="C38" s="54"/>
      <c r="H38" s="54"/>
    </row>
    <row r="39" spans="1:14" ht="12.75" customHeight="1" x14ac:dyDescent="0.2">
      <c r="A39" s="55" t="s">
        <v>47</v>
      </c>
      <c r="B39" s="56">
        <f t="shared" ref="B39:M39" si="6">+B17+B37</f>
        <v>22263</v>
      </c>
      <c r="C39" s="56">
        <f t="shared" si="6"/>
        <v>17036</v>
      </c>
      <c r="D39" s="56">
        <f t="shared" si="6"/>
        <v>4031</v>
      </c>
      <c r="E39" s="56">
        <f t="shared" si="6"/>
        <v>4204</v>
      </c>
      <c r="F39" s="56">
        <f t="shared" si="6"/>
        <v>4430</v>
      </c>
      <c r="G39" s="56">
        <f t="shared" si="6"/>
        <v>4371</v>
      </c>
      <c r="H39" s="56">
        <f t="shared" si="6"/>
        <v>5227</v>
      </c>
      <c r="I39" s="56">
        <f t="shared" si="6"/>
        <v>943</v>
      </c>
      <c r="J39" s="56">
        <f t="shared" si="6"/>
        <v>958</v>
      </c>
      <c r="K39" s="56">
        <f t="shared" si="6"/>
        <v>1007</v>
      </c>
      <c r="L39" s="56">
        <f t="shared" si="6"/>
        <v>984</v>
      </c>
      <c r="M39" s="56">
        <f t="shared" si="6"/>
        <v>1335</v>
      </c>
    </row>
    <row r="40" spans="1:14" s="66" customFormat="1" ht="12.75" customHeight="1" x14ac:dyDescent="0.25">
      <c r="A40" s="64" t="s">
        <v>75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1:14" ht="12.75" customHeight="1" x14ac:dyDescent="0.2">
      <c r="A41" s="59" t="s">
        <v>83</v>
      </c>
      <c r="B41" s="58"/>
      <c r="C41" s="58"/>
      <c r="D41" s="58"/>
    </row>
    <row r="42" spans="1:14" ht="6" customHeight="1" x14ac:dyDescent="0.2">
      <c r="A42" s="58"/>
      <c r="B42" s="58"/>
      <c r="C42" s="58"/>
      <c r="D42" s="58"/>
    </row>
    <row r="43" spans="1:14" ht="12.75" customHeight="1" x14ac:dyDescent="0.2">
      <c r="A43" s="60" t="s">
        <v>78</v>
      </c>
      <c r="B43" s="58"/>
      <c r="C43" s="58"/>
      <c r="D43" s="58"/>
    </row>
    <row r="65" spans="1:1" ht="10.199999999999999" x14ac:dyDescent="0.2">
      <c r="A65" s="45"/>
    </row>
    <row r="66" spans="1:1" ht="10.199999999999999" x14ac:dyDescent="0.2"/>
  </sheetData>
  <mergeCells count="6">
    <mergeCell ref="I7:M9"/>
    <mergeCell ref="H7:H10"/>
    <mergeCell ref="A6:A10"/>
    <mergeCell ref="B6:B10"/>
    <mergeCell ref="C7:C10"/>
    <mergeCell ref="D7:G9"/>
  </mergeCells>
  <phoneticPr fontId="5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>
      <selection activeCell="A4" sqref="A4"/>
    </sheetView>
  </sheetViews>
  <sheetFormatPr baseColWidth="10" defaultColWidth="8.42578125" defaultRowHeight="12.75" customHeight="1" x14ac:dyDescent="0.2"/>
  <cols>
    <col min="1" max="1" width="21.7109375" style="20" customWidth="1"/>
    <col min="2" max="13" width="8" style="20" customWidth="1"/>
    <col min="14" max="14" width="0.140625" style="20" customWidth="1"/>
    <col min="15" max="15" width="0.42578125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12.75" customHeight="1" x14ac:dyDescent="0.25">
      <c r="A3" s="68" t="s">
        <v>106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5">
      <c r="A4" s="67" t="s">
        <v>81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ht="12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4" ht="12.75" customHeight="1" thickBot="1" x14ac:dyDescent="0.25">
      <c r="A6" s="80" t="s">
        <v>8</v>
      </c>
      <c r="B6" s="80" t="s">
        <v>82</v>
      </c>
      <c r="C6" s="47" t="s">
        <v>4</v>
      </c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4" ht="12.75" customHeight="1" thickBot="1" x14ac:dyDescent="0.25">
      <c r="A7" s="77"/>
      <c r="B7" s="77"/>
      <c r="C7" s="82" t="s">
        <v>85</v>
      </c>
      <c r="D7" s="77" t="s">
        <v>77</v>
      </c>
      <c r="E7" s="78"/>
      <c r="F7" s="78"/>
      <c r="G7" s="78"/>
      <c r="H7" s="82" t="s">
        <v>88</v>
      </c>
      <c r="I7" s="77" t="s">
        <v>77</v>
      </c>
      <c r="J7" s="78"/>
      <c r="K7" s="78"/>
      <c r="L7" s="78"/>
      <c r="M7" s="79"/>
    </row>
    <row r="8" spans="1:14" ht="12.75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2.75" customHeight="1" thickBot="1" x14ac:dyDescent="0.25">
      <c r="A9" s="77"/>
      <c r="B9" s="77"/>
      <c r="C9" s="77"/>
      <c r="D9" s="78"/>
      <c r="E9" s="78"/>
      <c r="F9" s="78"/>
      <c r="G9" s="78"/>
      <c r="H9" s="77"/>
      <c r="I9" s="78"/>
      <c r="J9" s="78"/>
      <c r="K9" s="78"/>
      <c r="L9" s="78"/>
      <c r="M9" s="79"/>
    </row>
    <row r="10" spans="1:14" ht="12.75" customHeight="1" thickBot="1" x14ac:dyDescent="0.25">
      <c r="A10" s="77"/>
      <c r="B10" s="77"/>
      <c r="C10" s="77"/>
      <c r="D10" s="61">
        <v>1</v>
      </c>
      <c r="E10" s="61">
        <v>2</v>
      </c>
      <c r="F10" s="61">
        <v>3</v>
      </c>
      <c r="G10" s="62">
        <v>4</v>
      </c>
      <c r="H10" s="77"/>
      <c r="I10" s="61">
        <v>5</v>
      </c>
      <c r="J10" s="61">
        <v>6</v>
      </c>
      <c r="K10" s="61">
        <v>7</v>
      </c>
      <c r="L10" s="61">
        <v>8</v>
      </c>
      <c r="M10" s="51" t="s">
        <v>21</v>
      </c>
    </row>
    <row r="11" spans="1:14" ht="12.75" customHeight="1" x14ac:dyDescent="0.2">
      <c r="A11" s="52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63" t="s">
        <v>76</v>
      </c>
    </row>
    <row r="12" spans="1:14" ht="12.75" customHeight="1" x14ac:dyDescent="0.2">
      <c r="A12" s="53" t="s">
        <v>22</v>
      </c>
      <c r="B12" s="54">
        <f>C12+H12</f>
        <v>208</v>
      </c>
      <c r="C12" s="54">
        <f>SUM(D12:G12)</f>
        <v>208</v>
      </c>
      <c r="D12" s="54">
        <v>41</v>
      </c>
      <c r="E12" s="54">
        <v>56</v>
      </c>
      <c r="F12" s="54">
        <v>52</v>
      </c>
      <c r="G12" s="54">
        <v>59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4" ht="12.75" customHeight="1" x14ac:dyDescent="0.2">
      <c r="A13" s="53" t="s">
        <v>23</v>
      </c>
      <c r="B13" s="54">
        <f>C13+H13</f>
        <v>1099</v>
      </c>
      <c r="C13" s="54">
        <f>SUM(D13:G13)</f>
        <v>928</v>
      </c>
      <c r="D13" s="54">
        <v>227</v>
      </c>
      <c r="E13" s="54">
        <v>243</v>
      </c>
      <c r="F13" s="54">
        <v>238</v>
      </c>
      <c r="G13" s="54">
        <v>220</v>
      </c>
      <c r="H13" s="54">
        <v>171</v>
      </c>
      <c r="I13" s="54">
        <v>32</v>
      </c>
      <c r="J13" s="54">
        <v>37</v>
      </c>
      <c r="K13" s="54">
        <v>15</v>
      </c>
      <c r="L13" s="54">
        <v>33</v>
      </c>
      <c r="M13" s="54">
        <f>41+13</f>
        <v>54</v>
      </c>
    </row>
    <row r="14" spans="1:14" ht="12.75" customHeight="1" x14ac:dyDescent="0.2">
      <c r="A14" s="53" t="s">
        <v>24</v>
      </c>
      <c r="B14" s="54">
        <f>C14+H14</f>
        <v>1870</v>
      </c>
      <c r="C14" s="54">
        <f>SUM(D14:G14)</f>
        <v>1338</v>
      </c>
      <c r="D14" s="54">
        <v>300</v>
      </c>
      <c r="E14" s="54">
        <v>319</v>
      </c>
      <c r="F14" s="54">
        <f>370+14</f>
        <v>384</v>
      </c>
      <c r="G14" s="54">
        <f>321+14</f>
        <v>335</v>
      </c>
      <c r="H14" s="54">
        <f>I14+J14+K14+L14+M14</f>
        <v>532</v>
      </c>
      <c r="I14" s="54">
        <v>99</v>
      </c>
      <c r="J14" s="54">
        <v>94</v>
      </c>
      <c r="K14" s="54">
        <v>100</v>
      </c>
      <c r="L14" s="54">
        <v>107</v>
      </c>
      <c r="M14" s="54">
        <f>114+18</f>
        <v>132</v>
      </c>
      <c r="N14" s="54">
        <v>1</v>
      </c>
    </row>
    <row r="15" spans="1:14" ht="12.75" customHeight="1" x14ac:dyDescent="0.2">
      <c r="A15" s="53" t="s">
        <v>25</v>
      </c>
      <c r="B15" s="54">
        <f>C15+H15</f>
        <v>1384</v>
      </c>
      <c r="C15" s="54">
        <f>SUM(D15:G15)</f>
        <v>950</v>
      </c>
      <c r="D15" s="54">
        <f>185+48</f>
        <v>233</v>
      </c>
      <c r="E15" s="54">
        <f>203+49</f>
        <v>252</v>
      </c>
      <c r="F15" s="54">
        <f>187+55</f>
        <v>242</v>
      </c>
      <c r="G15" s="54">
        <f>184+39</f>
        <v>223</v>
      </c>
      <c r="H15" s="54">
        <f>I15+J15+K15+L15+M15</f>
        <v>434</v>
      </c>
      <c r="I15" s="21">
        <v>78</v>
      </c>
      <c r="J15" s="21">
        <v>60</v>
      </c>
      <c r="K15" s="21">
        <v>75</v>
      </c>
      <c r="L15" s="21">
        <v>86</v>
      </c>
      <c r="M15" s="21">
        <f>104+31</f>
        <v>135</v>
      </c>
    </row>
    <row r="16" spans="1:14" ht="12.75" customHeight="1" x14ac:dyDescent="0.2">
      <c r="A16" s="53" t="s">
        <v>26</v>
      </c>
      <c r="B16" s="54">
        <f>C16+H16</f>
        <v>1285</v>
      </c>
      <c r="C16" s="54">
        <f>SUM(D16:G16)</f>
        <v>844</v>
      </c>
      <c r="D16" s="54">
        <v>206</v>
      </c>
      <c r="E16" s="54">
        <v>215</v>
      </c>
      <c r="F16" s="54">
        <v>221</v>
      </c>
      <c r="G16" s="54">
        <v>202</v>
      </c>
      <c r="H16" s="54">
        <f>I16+J16+K16+L16+M16</f>
        <v>441</v>
      </c>
      <c r="I16" s="21">
        <v>65</v>
      </c>
      <c r="J16" s="21">
        <v>82</v>
      </c>
      <c r="K16" s="21">
        <v>78</v>
      </c>
      <c r="L16" s="21">
        <v>79</v>
      </c>
      <c r="M16" s="20">
        <v>137</v>
      </c>
    </row>
    <row r="17" spans="1:14" ht="12.75" customHeight="1" x14ac:dyDescent="0.2">
      <c r="A17" s="55" t="s">
        <v>27</v>
      </c>
      <c r="B17" s="54">
        <f>SUM(B12:B16)</f>
        <v>5846</v>
      </c>
      <c r="C17" s="54">
        <f t="shared" ref="C17:M17" si="0">SUM(C12:C16)</f>
        <v>4268</v>
      </c>
      <c r="D17" s="54">
        <f t="shared" si="0"/>
        <v>1007</v>
      </c>
      <c r="E17" s="54">
        <f t="shared" si="0"/>
        <v>1085</v>
      </c>
      <c r="F17" s="54">
        <f t="shared" si="0"/>
        <v>1137</v>
      </c>
      <c r="G17" s="54">
        <f t="shared" si="0"/>
        <v>1039</v>
      </c>
      <c r="H17" s="54">
        <f t="shared" si="0"/>
        <v>1578</v>
      </c>
      <c r="I17" s="54">
        <f t="shared" si="0"/>
        <v>274</v>
      </c>
      <c r="J17" s="54">
        <f t="shared" si="0"/>
        <v>273</v>
      </c>
      <c r="K17" s="54">
        <f t="shared" si="0"/>
        <v>268</v>
      </c>
      <c r="L17" s="54">
        <f t="shared" si="0"/>
        <v>305</v>
      </c>
      <c r="M17" s="54">
        <f t="shared" si="0"/>
        <v>458</v>
      </c>
    </row>
    <row r="18" spans="1:14" ht="6" customHeight="1" x14ac:dyDescent="0.2">
      <c r="A18" s="53"/>
      <c r="B18" s="54"/>
      <c r="C18" s="54"/>
      <c r="H18" s="54"/>
    </row>
    <row r="19" spans="1:14" ht="12.75" customHeight="1" x14ac:dyDescent="0.2">
      <c r="A19" s="53" t="s">
        <v>28</v>
      </c>
      <c r="B19" s="54">
        <f t="shared" ref="B19:B36" si="1">C19+H19</f>
        <v>3063</v>
      </c>
      <c r="C19" s="54">
        <f t="shared" ref="C19:C36" si="2">SUM(D19:G19)</f>
        <v>2359</v>
      </c>
      <c r="D19" s="54">
        <f>572+40-45</f>
        <v>567</v>
      </c>
      <c r="E19" s="54">
        <v>610</v>
      </c>
      <c r="F19" s="54">
        <f>602+28-64</f>
        <v>566</v>
      </c>
      <c r="G19" s="54">
        <v>616</v>
      </c>
      <c r="H19" s="54">
        <f>I19+J19+K19+L19+M19</f>
        <v>704</v>
      </c>
      <c r="I19" s="54">
        <f>169-35</f>
        <v>134</v>
      </c>
      <c r="J19" s="54">
        <f>191-32</f>
        <v>159</v>
      </c>
      <c r="K19" s="54">
        <f>159-34</f>
        <v>125</v>
      </c>
      <c r="L19" s="54">
        <f>165-39</f>
        <v>126</v>
      </c>
      <c r="M19" s="54">
        <f>162+33-35</f>
        <v>160</v>
      </c>
    </row>
    <row r="20" spans="1:14" ht="12.75" customHeight="1" x14ac:dyDescent="0.2">
      <c r="A20" s="53" t="s">
        <v>29</v>
      </c>
      <c r="B20" s="54">
        <f t="shared" si="1"/>
        <v>233</v>
      </c>
      <c r="C20" s="54">
        <f t="shared" si="2"/>
        <v>233</v>
      </c>
      <c r="D20" s="54">
        <v>73</v>
      </c>
      <c r="E20" s="54">
        <v>51</v>
      </c>
      <c r="F20" s="54">
        <v>53</v>
      </c>
      <c r="G20" s="54">
        <v>56</v>
      </c>
      <c r="H20" s="54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4" ht="12.75" customHeight="1" x14ac:dyDescent="0.2">
      <c r="A21" s="53" t="s">
        <v>30</v>
      </c>
      <c r="B21" s="54">
        <f t="shared" si="1"/>
        <v>409</v>
      </c>
      <c r="C21" s="54">
        <f t="shared" si="2"/>
        <v>409</v>
      </c>
      <c r="D21" s="54">
        <v>113</v>
      </c>
      <c r="E21" s="54">
        <v>87</v>
      </c>
      <c r="F21" s="54">
        <v>113</v>
      </c>
      <c r="G21" s="54">
        <v>96</v>
      </c>
      <c r="H21" s="54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1:14" ht="12.75" customHeight="1" x14ac:dyDescent="0.2">
      <c r="A22" s="53" t="s">
        <v>31</v>
      </c>
      <c r="B22" s="54">
        <f t="shared" si="1"/>
        <v>645</v>
      </c>
      <c r="C22" s="54">
        <f t="shared" si="2"/>
        <v>553</v>
      </c>
      <c r="D22" s="54">
        <v>135</v>
      </c>
      <c r="E22" s="54">
        <v>128</v>
      </c>
      <c r="F22" s="54">
        <v>135</v>
      </c>
      <c r="G22" s="54">
        <v>155</v>
      </c>
      <c r="H22" s="54">
        <f t="shared" ref="H22:H27" si="3">SUM(I22:M22)</f>
        <v>92</v>
      </c>
      <c r="I22" s="54">
        <v>17</v>
      </c>
      <c r="J22" s="54">
        <v>22</v>
      </c>
      <c r="K22" s="54">
        <v>16</v>
      </c>
      <c r="L22" s="54">
        <v>16</v>
      </c>
      <c r="M22" s="54">
        <v>21</v>
      </c>
    </row>
    <row r="23" spans="1:14" ht="12.75" customHeight="1" x14ac:dyDescent="0.2">
      <c r="A23" s="53" t="s">
        <v>32</v>
      </c>
      <c r="B23" s="54">
        <f t="shared" si="1"/>
        <v>1154</v>
      </c>
      <c r="C23" s="54">
        <f t="shared" si="2"/>
        <v>864</v>
      </c>
      <c r="D23" s="54">
        <v>195</v>
      </c>
      <c r="E23" s="54">
        <v>217</v>
      </c>
      <c r="F23" s="54">
        <v>247</v>
      </c>
      <c r="G23" s="54">
        <v>205</v>
      </c>
      <c r="H23" s="54">
        <f t="shared" si="3"/>
        <v>290</v>
      </c>
      <c r="I23" s="54">
        <v>38</v>
      </c>
      <c r="J23" s="54">
        <v>36</v>
      </c>
      <c r="K23" s="54">
        <v>50</v>
      </c>
      <c r="L23" s="54">
        <v>63</v>
      </c>
      <c r="M23" s="54">
        <f>66+22+15</f>
        <v>103</v>
      </c>
      <c r="N23" s="54"/>
    </row>
    <row r="24" spans="1:14" ht="12.75" customHeight="1" x14ac:dyDescent="0.2">
      <c r="A24" s="53" t="s">
        <v>33</v>
      </c>
      <c r="B24" s="54">
        <f t="shared" si="1"/>
        <v>456</v>
      </c>
      <c r="C24" s="54">
        <f t="shared" si="2"/>
        <v>270</v>
      </c>
      <c r="D24" s="54">
        <f>37+22</f>
        <v>59</v>
      </c>
      <c r="E24" s="54">
        <f>33+38</f>
        <v>71</v>
      </c>
      <c r="F24" s="54">
        <f>40+27</f>
        <v>67</v>
      </c>
      <c r="G24" s="54">
        <f>33+40</f>
        <v>73</v>
      </c>
      <c r="H24" s="54">
        <f t="shared" si="3"/>
        <v>186</v>
      </c>
      <c r="I24" s="54">
        <v>28</v>
      </c>
      <c r="J24" s="54">
        <v>31</v>
      </c>
      <c r="K24" s="54">
        <v>23</v>
      </c>
      <c r="L24" s="54">
        <v>37</v>
      </c>
      <c r="M24" s="54">
        <f>31+36</f>
        <v>67</v>
      </c>
      <c r="N24" s="54">
        <v>36</v>
      </c>
    </row>
    <row r="25" spans="1:14" ht="12.75" customHeight="1" x14ac:dyDescent="0.2">
      <c r="A25" s="53" t="s">
        <v>34</v>
      </c>
      <c r="B25" s="54">
        <f t="shared" si="1"/>
        <v>919</v>
      </c>
      <c r="C25" s="54">
        <f t="shared" si="2"/>
        <v>714</v>
      </c>
      <c r="D25" s="54">
        <v>169</v>
      </c>
      <c r="E25" s="54">
        <v>193</v>
      </c>
      <c r="F25" s="54">
        <v>176</v>
      </c>
      <c r="G25" s="54">
        <v>176</v>
      </c>
      <c r="H25" s="54">
        <f t="shared" si="3"/>
        <v>205</v>
      </c>
      <c r="I25" s="54">
        <v>41</v>
      </c>
      <c r="J25" s="54">
        <v>35</v>
      </c>
      <c r="K25" s="54">
        <v>42</v>
      </c>
      <c r="L25" s="54">
        <v>41</v>
      </c>
      <c r="M25" s="54">
        <v>46</v>
      </c>
    </row>
    <row r="26" spans="1:14" ht="12.75" customHeight="1" x14ac:dyDescent="0.2">
      <c r="A26" s="53" t="s">
        <v>35</v>
      </c>
      <c r="B26" s="54">
        <f t="shared" si="1"/>
        <v>1292</v>
      </c>
      <c r="C26" s="54">
        <f t="shared" si="2"/>
        <v>827</v>
      </c>
      <c r="D26" s="54">
        <f>109+33+48</f>
        <v>190</v>
      </c>
      <c r="E26" s="54">
        <f>115+39+48</f>
        <v>202</v>
      </c>
      <c r="F26" s="54">
        <f>125+43+61</f>
        <v>229</v>
      </c>
      <c r="G26" s="54">
        <f>105+33+68</f>
        <v>206</v>
      </c>
      <c r="H26" s="54">
        <f t="shared" si="3"/>
        <v>465</v>
      </c>
      <c r="I26" s="54">
        <f>38+37</f>
        <v>75</v>
      </c>
      <c r="J26" s="54">
        <f>48+40</f>
        <v>88</v>
      </c>
      <c r="K26" s="54">
        <f>35+36</f>
        <v>71</v>
      </c>
      <c r="L26" s="54">
        <f>50+47</f>
        <v>97</v>
      </c>
      <c r="M26" s="54">
        <f>59+18+57</f>
        <v>134</v>
      </c>
    </row>
    <row r="27" spans="1:14" ht="12.75" customHeight="1" x14ac:dyDescent="0.2">
      <c r="A27" s="53" t="s">
        <v>36</v>
      </c>
      <c r="B27" s="54">
        <f t="shared" si="1"/>
        <v>378</v>
      </c>
      <c r="C27" s="54">
        <f t="shared" si="2"/>
        <v>203</v>
      </c>
      <c r="D27" s="54">
        <v>45</v>
      </c>
      <c r="E27" s="54">
        <v>48</v>
      </c>
      <c r="F27" s="54">
        <v>64</v>
      </c>
      <c r="G27" s="54">
        <v>46</v>
      </c>
      <c r="H27" s="54">
        <f t="shared" si="3"/>
        <v>175</v>
      </c>
      <c r="I27" s="54">
        <v>35</v>
      </c>
      <c r="J27" s="54">
        <v>32</v>
      </c>
      <c r="K27" s="54">
        <v>34</v>
      </c>
      <c r="L27" s="54">
        <v>39</v>
      </c>
      <c r="M27" s="54">
        <v>35</v>
      </c>
    </row>
    <row r="28" spans="1:14" ht="12.75" customHeight="1" x14ac:dyDescent="0.2">
      <c r="A28" s="53" t="s">
        <v>37</v>
      </c>
      <c r="B28" s="54">
        <f t="shared" si="1"/>
        <v>313</v>
      </c>
      <c r="C28" s="54">
        <f t="shared" si="2"/>
        <v>313</v>
      </c>
      <c r="D28" s="54">
        <f>36+34</f>
        <v>70</v>
      </c>
      <c r="E28" s="54">
        <f>45+37</f>
        <v>82</v>
      </c>
      <c r="F28" s="54">
        <f>44+40</f>
        <v>84</v>
      </c>
      <c r="G28" s="54">
        <f>45+32</f>
        <v>77</v>
      </c>
      <c r="H28" s="54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1:14" ht="12.75" customHeight="1" x14ac:dyDescent="0.2">
      <c r="A29" s="53" t="s">
        <v>38</v>
      </c>
      <c r="B29" s="54">
        <f t="shared" si="1"/>
        <v>421</v>
      </c>
      <c r="C29" s="54">
        <f t="shared" si="2"/>
        <v>300</v>
      </c>
      <c r="D29" s="54">
        <v>66</v>
      </c>
      <c r="E29" s="54">
        <v>66</v>
      </c>
      <c r="F29" s="54">
        <v>71</v>
      </c>
      <c r="G29" s="54">
        <v>97</v>
      </c>
      <c r="H29" s="54">
        <f t="shared" ref="H29:H36" si="4">SUM(I29:M29)</f>
        <v>121</v>
      </c>
      <c r="I29" s="54">
        <v>24</v>
      </c>
      <c r="J29" s="54">
        <v>21</v>
      </c>
      <c r="K29" s="54">
        <v>22</v>
      </c>
      <c r="L29" s="54">
        <v>19</v>
      </c>
      <c r="M29" s="54">
        <v>35</v>
      </c>
    </row>
    <row r="30" spans="1:14" ht="12.75" customHeight="1" x14ac:dyDescent="0.2">
      <c r="A30" s="53" t="s">
        <v>39</v>
      </c>
      <c r="B30" s="54">
        <f t="shared" si="1"/>
        <v>1074</v>
      </c>
      <c r="C30" s="54">
        <f t="shared" si="2"/>
        <v>915</v>
      </c>
      <c r="D30" s="54">
        <v>213</v>
      </c>
      <c r="E30" s="54">
        <v>215</v>
      </c>
      <c r="F30" s="54">
        <v>241</v>
      </c>
      <c r="G30" s="54">
        <v>246</v>
      </c>
      <c r="H30" s="54">
        <f t="shared" si="4"/>
        <v>159</v>
      </c>
      <c r="I30" s="54">
        <v>34</v>
      </c>
      <c r="J30" s="54">
        <v>34</v>
      </c>
      <c r="K30" s="54">
        <v>34</v>
      </c>
      <c r="L30" s="54">
        <v>23</v>
      </c>
      <c r="M30" s="54">
        <v>34</v>
      </c>
    </row>
    <row r="31" spans="1:14" ht="12.75" customHeight="1" x14ac:dyDescent="0.2">
      <c r="A31" s="53" t="s">
        <v>40</v>
      </c>
      <c r="B31" s="54">
        <f t="shared" si="1"/>
        <v>525</v>
      </c>
      <c r="C31" s="54">
        <f t="shared" si="2"/>
        <v>381</v>
      </c>
      <c r="D31" s="54">
        <v>80</v>
      </c>
      <c r="E31" s="54">
        <v>91</v>
      </c>
      <c r="F31" s="54">
        <v>103</v>
      </c>
      <c r="G31" s="54">
        <v>107</v>
      </c>
      <c r="H31" s="54">
        <f t="shared" si="4"/>
        <v>144</v>
      </c>
      <c r="I31" s="54">
        <v>36</v>
      </c>
      <c r="J31" s="54">
        <v>27</v>
      </c>
      <c r="K31" s="54">
        <v>33</v>
      </c>
      <c r="L31" s="54">
        <v>26</v>
      </c>
      <c r="M31" s="54">
        <v>22</v>
      </c>
    </row>
    <row r="32" spans="1:14" ht="12.75" customHeight="1" x14ac:dyDescent="0.2">
      <c r="A32" s="53" t="s">
        <v>41</v>
      </c>
      <c r="B32" s="54">
        <f t="shared" si="1"/>
        <v>709</v>
      </c>
      <c r="C32" s="54">
        <f t="shared" si="2"/>
        <v>508</v>
      </c>
      <c r="D32" s="54">
        <f>49+70</f>
        <v>119</v>
      </c>
      <c r="E32" s="54">
        <f>68+62</f>
        <v>130</v>
      </c>
      <c r="F32" s="54">
        <f>65+58</f>
        <v>123</v>
      </c>
      <c r="G32" s="54">
        <f>72+64</f>
        <v>136</v>
      </c>
      <c r="H32" s="54">
        <f t="shared" si="4"/>
        <v>201</v>
      </c>
      <c r="I32" s="54">
        <v>32</v>
      </c>
      <c r="J32" s="54">
        <v>39</v>
      </c>
      <c r="K32" s="54">
        <v>41</v>
      </c>
      <c r="L32" s="54">
        <v>40</v>
      </c>
      <c r="M32" s="54">
        <v>49</v>
      </c>
    </row>
    <row r="33" spans="1:14" ht="12.75" customHeight="1" x14ac:dyDescent="0.2">
      <c r="A33" s="53" t="s">
        <v>42</v>
      </c>
      <c r="B33" s="54">
        <f t="shared" si="1"/>
        <v>1768</v>
      </c>
      <c r="C33" s="54">
        <f t="shared" si="2"/>
        <v>1414</v>
      </c>
      <c r="D33" s="54">
        <f>388-48</f>
        <v>340</v>
      </c>
      <c r="E33" s="54">
        <f>399-49</f>
        <v>350</v>
      </c>
      <c r="F33" s="54">
        <v>368</v>
      </c>
      <c r="G33" s="54">
        <v>356</v>
      </c>
      <c r="H33" s="54">
        <f t="shared" si="4"/>
        <v>354</v>
      </c>
      <c r="I33" s="54">
        <v>45</v>
      </c>
      <c r="J33" s="54">
        <v>62</v>
      </c>
      <c r="K33" s="54">
        <v>73</v>
      </c>
      <c r="L33" s="54">
        <v>70</v>
      </c>
      <c r="M33" s="54">
        <f>79+25</f>
        <v>104</v>
      </c>
      <c r="N33" s="54"/>
    </row>
    <row r="34" spans="1:14" ht="12.75" customHeight="1" x14ac:dyDescent="0.2">
      <c r="A34" s="53" t="s">
        <v>43</v>
      </c>
      <c r="B34" s="54">
        <f t="shared" si="1"/>
        <v>378</v>
      </c>
      <c r="C34" s="54">
        <f t="shared" si="2"/>
        <v>254</v>
      </c>
      <c r="D34" s="54">
        <v>64</v>
      </c>
      <c r="E34" s="54">
        <v>64</v>
      </c>
      <c r="F34" s="54">
        <v>69</v>
      </c>
      <c r="G34" s="54">
        <v>57</v>
      </c>
      <c r="H34" s="54">
        <f t="shared" si="4"/>
        <v>124</v>
      </c>
      <c r="I34" s="54">
        <v>30</v>
      </c>
      <c r="J34" s="54">
        <v>24</v>
      </c>
      <c r="K34" s="54">
        <v>12</v>
      </c>
      <c r="L34" s="54">
        <v>36</v>
      </c>
      <c r="M34" s="54">
        <v>22</v>
      </c>
    </row>
    <row r="35" spans="1:14" ht="12.75" customHeight="1" x14ac:dyDescent="0.2">
      <c r="A35" s="53" t="s">
        <v>44</v>
      </c>
      <c r="B35" s="54">
        <f t="shared" si="1"/>
        <v>1605</v>
      </c>
      <c r="C35" s="54">
        <f t="shared" si="2"/>
        <v>1314</v>
      </c>
      <c r="D35" s="54">
        <v>313</v>
      </c>
      <c r="E35" s="54">
        <v>361</v>
      </c>
      <c r="F35" s="54">
        <v>338</v>
      </c>
      <c r="G35" s="54">
        <v>302</v>
      </c>
      <c r="H35" s="54">
        <f t="shared" si="4"/>
        <v>291</v>
      </c>
      <c r="I35" s="54">
        <v>68</v>
      </c>
      <c r="J35" s="54">
        <v>60</v>
      </c>
      <c r="K35" s="54">
        <v>47</v>
      </c>
      <c r="L35" s="54">
        <v>51</v>
      </c>
      <c r="M35" s="54">
        <v>65</v>
      </c>
    </row>
    <row r="36" spans="1:14" ht="12.75" customHeight="1" x14ac:dyDescent="0.2">
      <c r="A36" s="53" t="s">
        <v>45</v>
      </c>
      <c r="B36" s="54">
        <f t="shared" si="1"/>
        <v>1721</v>
      </c>
      <c r="C36" s="54">
        <f t="shared" si="2"/>
        <v>1306</v>
      </c>
      <c r="D36" s="54">
        <v>322</v>
      </c>
      <c r="E36" s="54">
        <v>326</v>
      </c>
      <c r="F36" s="54">
        <v>340</v>
      </c>
      <c r="G36" s="54">
        <v>318</v>
      </c>
      <c r="H36" s="54">
        <f t="shared" si="4"/>
        <v>415</v>
      </c>
      <c r="I36" s="54">
        <v>84</v>
      </c>
      <c r="J36" s="54">
        <v>83</v>
      </c>
      <c r="K36" s="54">
        <v>70</v>
      </c>
      <c r="L36" s="54">
        <v>89</v>
      </c>
      <c r="M36" s="54">
        <v>89</v>
      </c>
    </row>
    <row r="37" spans="1:14" ht="12.75" customHeight="1" x14ac:dyDescent="0.2">
      <c r="A37" s="55" t="s">
        <v>46</v>
      </c>
      <c r="B37" s="54">
        <f>SUM(B19:B36)</f>
        <v>17063</v>
      </c>
      <c r="C37" s="54">
        <f t="shared" ref="C37:M37" si="5">SUM(C19:C36)</f>
        <v>13137</v>
      </c>
      <c r="D37" s="54">
        <f t="shared" si="5"/>
        <v>3133</v>
      </c>
      <c r="E37" s="54">
        <f t="shared" si="5"/>
        <v>3292</v>
      </c>
      <c r="F37" s="54">
        <f t="shared" si="5"/>
        <v>3387</v>
      </c>
      <c r="G37" s="54">
        <f t="shared" si="5"/>
        <v>3325</v>
      </c>
      <c r="H37" s="54">
        <f t="shared" si="5"/>
        <v>3926</v>
      </c>
      <c r="I37" s="54">
        <f t="shared" si="5"/>
        <v>721</v>
      </c>
      <c r="J37" s="54">
        <f t="shared" si="5"/>
        <v>753</v>
      </c>
      <c r="K37" s="54">
        <f t="shared" si="5"/>
        <v>693</v>
      </c>
      <c r="L37" s="54">
        <f t="shared" si="5"/>
        <v>773</v>
      </c>
      <c r="M37" s="54">
        <f t="shared" si="5"/>
        <v>986</v>
      </c>
    </row>
    <row r="38" spans="1:14" ht="6" customHeight="1" x14ac:dyDescent="0.2">
      <c r="A38" s="53"/>
      <c r="B38" s="54"/>
      <c r="C38" s="54"/>
      <c r="H38" s="54"/>
    </row>
    <row r="39" spans="1:14" ht="12.75" customHeight="1" x14ac:dyDescent="0.2">
      <c r="A39" s="55" t="s">
        <v>47</v>
      </c>
      <c r="B39" s="56">
        <f>+B17+B37</f>
        <v>22909</v>
      </c>
      <c r="C39" s="56">
        <f>+C17+C37</f>
        <v>17405</v>
      </c>
      <c r="D39" s="56">
        <f t="shared" ref="D39:M39" si="6">+D17+D37</f>
        <v>4140</v>
      </c>
      <c r="E39" s="56">
        <f t="shared" si="6"/>
        <v>4377</v>
      </c>
      <c r="F39" s="56">
        <f t="shared" si="6"/>
        <v>4524</v>
      </c>
      <c r="G39" s="56">
        <f t="shared" si="6"/>
        <v>4364</v>
      </c>
      <c r="H39" s="56">
        <f t="shared" si="6"/>
        <v>5504</v>
      </c>
      <c r="I39" s="56">
        <f t="shared" si="6"/>
        <v>995</v>
      </c>
      <c r="J39" s="56">
        <f t="shared" si="6"/>
        <v>1026</v>
      </c>
      <c r="K39" s="56">
        <f t="shared" si="6"/>
        <v>961</v>
      </c>
      <c r="L39" s="56">
        <f t="shared" si="6"/>
        <v>1078</v>
      </c>
      <c r="M39" s="56">
        <f t="shared" si="6"/>
        <v>1444</v>
      </c>
    </row>
    <row r="40" spans="1:14" s="66" customFormat="1" ht="12.75" customHeight="1" x14ac:dyDescent="0.25">
      <c r="A40" s="64" t="s">
        <v>75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1:14" ht="12.75" customHeight="1" x14ac:dyDescent="0.2">
      <c r="A41" s="59" t="s">
        <v>83</v>
      </c>
      <c r="B41" s="58"/>
      <c r="C41" s="58"/>
      <c r="D41" s="58"/>
    </row>
    <row r="42" spans="1:14" ht="6" customHeight="1" x14ac:dyDescent="0.2">
      <c r="A42" s="58"/>
      <c r="B42" s="58"/>
      <c r="C42" s="58"/>
      <c r="D42" s="58"/>
    </row>
    <row r="43" spans="1:14" ht="12.75" customHeight="1" x14ac:dyDescent="0.2">
      <c r="A43" s="60" t="s">
        <v>78</v>
      </c>
      <c r="B43" s="58"/>
      <c r="C43" s="58"/>
      <c r="D43" s="58"/>
    </row>
    <row r="65" spans="1:1" ht="10.199999999999999" x14ac:dyDescent="0.2">
      <c r="A65" s="45"/>
    </row>
    <row r="66" spans="1:1" ht="10.199999999999999" x14ac:dyDescent="0.2"/>
  </sheetData>
  <mergeCells count="6">
    <mergeCell ref="I7:M9"/>
    <mergeCell ref="H7:H10"/>
    <mergeCell ref="A6:A10"/>
    <mergeCell ref="B6:B10"/>
    <mergeCell ref="C7:C10"/>
    <mergeCell ref="D7:G9"/>
  </mergeCells>
  <phoneticPr fontId="5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>
      <selection activeCell="A4" sqref="A4"/>
    </sheetView>
  </sheetViews>
  <sheetFormatPr baseColWidth="10" defaultColWidth="8.42578125" defaultRowHeight="12.75" customHeight="1" x14ac:dyDescent="0.2"/>
  <cols>
    <col min="1" max="1" width="21.7109375" style="20" customWidth="1"/>
    <col min="2" max="13" width="8" style="20" customWidth="1"/>
    <col min="14" max="14" width="0.140625" style="20" customWidth="1"/>
    <col min="15" max="15" width="0.42578125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12.75" customHeight="1" x14ac:dyDescent="0.25">
      <c r="A3" s="68" t="s">
        <v>107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5">
      <c r="A4" s="67" t="s">
        <v>81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ht="12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4" ht="12.75" customHeight="1" thickBot="1" x14ac:dyDescent="0.25">
      <c r="A6" s="80" t="s">
        <v>8</v>
      </c>
      <c r="B6" s="80" t="s">
        <v>82</v>
      </c>
      <c r="C6" s="47" t="s">
        <v>4</v>
      </c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4" ht="12.75" customHeight="1" thickBot="1" x14ac:dyDescent="0.25">
      <c r="A7" s="77"/>
      <c r="B7" s="77"/>
      <c r="C7" s="82" t="s">
        <v>85</v>
      </c>
      <c r="D7" s="77" t="s">
        <v>77</v>
      </c>
      <c r="E7" s="78"/>
      <c r="F7" s="78"/>
      <c r="G7" s="78"/>
      <c r="H7" s="82" t="s">
        <v>88</v>
      </c>
      <c r="I7" s="77" t="s">
        <v>77</v>
      </c>
      <c r="J7" s="78"/>
      <c r="K7" s="78"/>
      <c r="L7" s="78"/>
      <c r="M7" s="79"/>
    </row>
    <row r="8" spans="1:14" ht="12.75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2.75" customHeight="1" thickBot="1" x14ac:dyDescent="0.25">
      <c r="A9" s="77"/>
      <c r="B9" s="77"/>
      <c r="C9" s="77"/>
      <c r="D9" s="78"/>
      <c r="E9" s="78"/>
      <c r="F9" s="78"/>
      <c r="G9" s="78"/>
      <c r="H9" s="77"/>
      <c r="I9" s="78"/>
      <c r="J9" s="78"/>
      <c r="K9" s="78"/>
      <c r="L9" s="78"/>
      <c r="M9" s="79"/>
    </row>
    <row r="10" spans="1:14" ht="12.75" customHeight="1" thickBot="1" x14ac:dyDescent="0.25">
      <c r="A10" s="77"/>
      <c r="B10" s="77"/>
      <c r="C10" s="77"/>
      <c r="D10" s="61">
        <v>1</v>
      </c>
      <c r="E10" s="61">
        <v>2</v>
      </c>
      <c r="F10" s="61">
        <v>3</v>
      </c>
      <c r="G10" s="62">
        <v>4</v>
      </c>
      <c r="H10" s="77"/>
      <c r="I10" s="61">
        <v>5</v>
      </c>
      <c r="J10" s="61">
        <v>6</v>
      </c>
      <c r="K10" s="61">
        <v>7</v>
      </c>
      <c r="L10" s="61">
        <v>8</v>
      </c>
      <c r="M10" s="51" t="s">
        <v>21</v>
      </c>
    </row>
    <row r="11" spans="1:14" ht="12.75" customHeight="1" x14ac:dyDescent="0.2">
      <c r="A11" s="52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63" t="s">
        <v>76</v>
      </c>
    </row>
    <row r="12" spans="1:14" ht="12.75" customHeight="1" x14ac:dyDescent="0.2">
      <c r="A12" s="53" t="s">
        <v>22</v>
      </c>
      <c r="B12" s="54">
        <v>245</v>
      </c>
      <c r="C12" s="54">
        <v>245</v>
      </c>
      <c r="D12" s="54">
        <v>49</v>
      </c>
      <c r="E12" s="54">
        <v>67</v>
      </c>
      <c r="F12" s="54">
        <v>65</v>
      </c>
      <c r="G12" s="54">
        <v>64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4" ht="12.75" customHeight="1" x14ac:dyDescent="0.2">
      <c r="A13" s="53" t="s">
        <v>23</v>
      </c>
      <c r="B13" s="54">
        <v>1154</v>
      </c>
      <c r="C13" s="54">
        <v>965</v>
      </c>
      <c r="D13" s="54">
        <v>243</v>
      </c>
      <c r="E13" s="54">
        <v>246</v>
      </c>
      <c r="F13" s="54">
        <v>226</v>
      </c>
      <c r="G13" s="54">
        <v>250</v>
      </c>
      <c r="H13" s="54">
        <v>189</v>
      </c>
      <c r="I13" s="54">
        <v>42</v>
      </c>
      <c r="J13" s="54">
        <v>18</v>
      </c>
      <c r="K13" s="54">
        <v>32</v>
      </c>
      <c r="L13" s="54">
        <v>40</v>
      </c>
      <c r="M13" s="54">
        <v>57</v>
      </c>
    </row>
    <row r="14" spans="1:14" ht="12.75" customHeight="1" x14ac:dyDescent="0.2">
      <c r="A14" s="53" t="s">
        <v>24</v>
      </c>
      <c r="B14" s="54">
        <v>1976</v>
      </c>
      <c r="C14" s="54">
        <v>1395</v>
      </c>
      <c r="D14" s="54">
        <v>329</v>
      </c>
      <c r="E14" s="54">
        <v>367</v>
      </c>
      <c r="F14" s="54">
        <v>348</v>
      </c>
      <c r="G14" s="54">
        <v>351</v>
      </c>
      <c r="H14" s="54">
        <v>581</v>
      </c>
      <c r="I14" s="54">
        <v>106</v>
      </c>
      <c r="J14" s="54">
        <v>108</v>
      </c>
      <c r="K14" s="54">
        <v>106</v>
      </c>
      <c r="L14" s="54">
        <v>115</v>
      </c>
      <c r="M14" s="54">
        <v>146</v>
      </c>
    </row>
    <row r="15" spans="1:14" ht="12.75" customHeight="1" x14ac:dyDescent="0.2">
      <c r="A15" s="53" t="s">
        <v>25</v>
      </c>
      <c r="B15" s="54">
        <v>1469</v>
      </c>
      <c r="C15" s="54">
        <v>986</v>
      </c>
      <c r="D15" s="54">
        <v>243</v>
      </c>
      <c r="E15" s="54">
        <v>265</v>
      </c>
      <c r="F15" s="54">
        <v>232</v>
      </c>
      <c r="G15" s="54">
        <v>246</v>
      </c>
      <c r="H15" s="54">
        <v>483</v>
      </c>
      <c r="I15" s="21">
        <v>72</v>
      </c>
      <c r="J15" s="21">
        <v>83</v>
      </c>
      <c r="K15" s="21">
        <v>93</v>
      </c>
      <c r="L15" s="21">
        <v>98</v>
      </c>
      <c r="M15" s="21">
        <v>137</v>
      </c>
    </row>
    <row r="16" spans="1:14" ht="12.75" customHeight="1" x14ac:dyDescent="0.2">
      <c r="A16" s="53" t="s">
        <v>26</v>
      </c>
      <c r="B16" s="54">
        <v>1371</v>
      </c>
      <c r="C16" s="54">
        <v>879</v>
      </c>
      <c r="D16" s="54">
        <v>214</v>
      </c>
      <c r="E16" s="54">
        <v>209</v>
      </c>
      <c r="F16" s="54">
        <v>220</v>
      </c>
      <c r="G16" s="54">
        <v>236</v>
      </c>
      <c r="H16" s="54">
        <v>492</v>
      </c>
      <c r="I16" s="21">
        <v>89</v>
      </c>
      <c r="J16" s="21">
        <v>84</v>
      </c>
      <c r="K16" s="21">
        <v>73</v>
      </c>
      <c r="L16" s="21">
        <v>93</v>
      </c>
      <c r="M16" s="20">
        <v>153</v>
      </c>
    </row>
    <row r="17" spans="1:13" ht="12.75" customHeight="1" x14ac:dyDescent="0.2">
      <c r="A17" s="55" t="s">
        <v>27</v>
      </c>
      <c r="B17" s="54">
        <f>SUM(B12:B16)</f>
        <v>6215</v>
      </c>
      <c r="C17" s="54">
        <v>4470</v>
      </c>
      <c r="D17" s="54">
        <v>1078</v>
      </c>
      <c r="E17" s="54">
        <v>1154</v>
      </c>
      <c r="F17" s="54">
        <v>1091</v>
      </c>
      <c r="G17" s="54">
        <v>1147</v>
      </c>
      <c r="H17" s="54">
        <v>1745</v>
      </c>
      <c r="I17" s="54">
        <v>309</v>
      </c>
      <c r="J17" s="54">
        <v>293</v>
      </c>
      <c r="K17" s="54">
        <v>304</v>
      </c>
      <c r="L17" s="54">
        <v>346</v>
      </c>
      <c r="M17" s="54">
        <v>493</v>
      </c>
    </row>
    <row r="18" spans="1:13" ht="6" customHeight="1" x14ac:dyDescent="0.2">
      <c r="A18" s="53"/>
      <c r="B18" s="54"/>
      <c r="C18" s="54"/>
      <c r="H18" s="54"/>
    </row>
    <row r="19" spans="1:13" ht="12.75" customHeight="1" x14ac:dyDescent="0.2">
      <c r="A19" s="53" t="s">
        <v>28</v>
      </c>
      <c r="B19" s="54">
        <v>3131</v>
      </c>
      <c r="C19" s="54">
        <v>2385</v>
      </c>
      <c r="D19" s="54">
        <v>601</v>
      </c>
      <c r="E19" s="54">
        <v>578</v>
      </c>
      <c r="F19" s="54">
        <v>629</v>
      </c>
      <c r="G19" s="54">
        <v>577</v>
      </c>
      <c r="H19" s="54">
        <v>746</v>
      </c>
      <c r="I19" s="54">
        <v>153</v>
      </c>
      <c r="J19" s="54">
        <v>135</v>
      </c>
      <c r="K19" s="54">
        <v>121</v>
      </c>
      <c r="L19" s="54">
        <v>140</v>
      </c>
      <c r="M19" s="54">
        <v>197</v>
      </c>
    </row>
    <row r="20" spans="1:13" ht="12.75" customHeight="1" x14ac:dyDescent="0.2">
      <c r="A20" s="53" t="s">
        <v>29</v>
      </c>
      <c r="B20" s="54">
        <v>207</v>
      </c>
      <c r="C20" s="54">
        <v>207</v>
      </c>
      <c r="D20" s="54">
        <v>45</v>
      </c>
      <c r="E20" s="54">
        <v>51</v>
      </c>
      <c r="F20" s="54">
        <v>58</v>
      </c>
      <c r="G20" s="54">
        <v>53</v>
      </c>
      <c r="H20" s="54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3" ht="12.75" customHeight="1" x14ac:dyDescent="0.2">
      <c r="A21" s="53" t="s">
        <v>30</v>
      </c>
      <c r="B21" s="54">
        <v>398</v>
      </c>
      <c r="C21" s="54">
        <v>398</v>
      </c>
      <c r="D21" s="54">
        <v>89</v>
      </c>
      <c r="E21" s="54">
        <v>105</v>
      </c>
      <c r="F21" s="54">
        <v>103</v>
      </c>
      <c r="G21" s="54">
        <v>101</v>
      </c>
      <c r="H21" s="54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1:13" ht="12.75" customHeight="1" x14ac:dyDescent="0.2">
      <c r="A22" s="53" t="s">
        <v>31</v>
      </c>
      <c r="B22" s="54">
        <v>672</v>
      </c>
      <c r="C22" s="54">
        <v>581</v>
      </c>
      <c r="D22" s="54">
        <v>134</v>
      </c>
      <c r="E22" s="54">
        <v>128</v>
      </c>
      <c r="F22" s="54">
        <v>163</v>
      </c>
      <c r="G22" s="54">
        <v>156</v>
      </c>
      <c r="H22" s="54">
        <v>91</v>
      </c>
      <c r="I22" s="54">
        <v>23</v>
      </c>
      <c r="J22" s="54">
        <v>16</v>
      </c>
      <c r="K22" s="54">
        <v>15</v>
      </c>
      <c r="L22" s="54">
        <v>20</v>
      </c>
      <c r="M22" s="54">
        <v>17</v>
      </c>
    </row>
    <row r="23" spans="1:13" ht="12.75" customHeight="1" x14ac:dyDescent="0.2">
      <c r="A23" s="53" t="s">
        <v>32</v>
      </c>
      <c r="B23" s="54">
        <v>1203</v>
      </c>
      <c r="C23" s="54">
        <v>873</v>
      </c>
      <c r="D23" s="54">
        <v>209</v>
      </c>
      <c r="E23" s="54">
        <v>252</v>
      </c>
      <c r="F23" s="54">
        <v>209</v>
      </c>
      <c r="G23" s="54">
        <v>203</v>
      </c>
      <c r="H23" s="54">
        <v>330</v>
      </c>
      <c r="I23" s="54">
        <v>42</v>
      </c>
      <c r="J23" s="54">
        <v>49</v>
      </c>
      <c r="K23" s="54">
        <v>65</v>
      </c>
      <c r="L23" s="54">
        <v>64</v>
      </c>
      <c r="M23" s="54">
        <v>110</v>
      </c>
    </row>
    <row r="24" spans="1:13" ht="12.75" customHeight="1" x14ac:dyDescent="0.2">
      <c r="A24" s="53" t="s">
        <v>33</v>
      </c>
      <c r="B24" s="54">
        <v>503</v>
      </c>
      <c r="C24" s="54">
        <v>295</v>
      </c>
      <c r="D24" s="54">
        <v>68</v>
      </c>
      <c r="E24" s="54">
        <v>63</v>
      </c>
      <c r="F24" s="54">
        <v>81</v>
      </c>
      <c r="G24" s="54">
        <v>83</v>
      </c>
      <c r="H24" s="54">
        <v>208</v>
      </c>
      <c r="I24" s="54">
        <v>41</v>
      </c>
      <c r="J24" s="54">
        <v>24</v>
      </c>
      <c r="K24" s="54">
        <v>33</v>
      </c>
      <c r="L24" s="54">
        <v>36</v>
      </c>
      <c r="M24" s="54">
        <v>74</v>
      </c>
    </row>
    <row r="25" spans="1:13" ht="12.75" customHeight="1" x14ac:dyDescent="0.2">
      <c r="A25" s="53" t="s">
        <v>34</v>
      </c>
      <c r="B25" s="54">
        <v>974</v>
      </c>
      <c r="C25" s="54">
        <v>732</v>
      </c>
      <c r="D25" s="54">
        <v>196</v>
      </c>
      <c r="E25" s="54">
        <v>165</v>
      </c>
      <c r="F25" s="54">
        <v>189</v>
      </c>
      <c r="G25" s="54">
        <v>182</v>
      </c>
      <c r="H25" s="54">
        <v>242</v>
      </c>
      <c r="I25" s="54">
        <v>42</v>
      </c>
      <c r="J25" s="54">
        <v>47</v>
      </c>
      <c r="K25" s="54">
        <v>36</v>
      </c>
      <c r="L25" s="54">
        <v>48</v>
      </c>
      <c r="M25" s="54">
        <v>69</v>
      </c>
    </row>
    <row r="26" spans="1:13" ht="12.75" customHeight="1" x14ac:dyDescent="0.2">
      <c r="A26" s="53" t="s">
        <v>35</v>
      </c>
      <c r="B26" s="54">
        <v>1380</v>
      </c>
      <c r="C26" s="54">
        <v>875</v>
      </c>
      <c r="D26" s="54">
        <v>199</v>
      </c>
      <c r="E26" s="54">
        <v>223</v>
      </c>
      <c r="F26" s="54">
        <v>229</v>
      </c>
      <c r="G26" s="54">
        <v>224</v>
      </c>
      <c r="H26" s="54">
        <v>505</v>
      </c>
      <c r="I26" s="54">
        <v>93</v>
      </c>
      <c r="J26" s="54">
        <v>75</v>
      </c>
      <c r="K26" s="54">
        <v>93</v>
      </c>
      <c r="L26" s="54">
        <v>122</v>
      </c>
      <c r="M26" s="54">
        <v>122</v>
      </c>
    </row>
    <row r="27" spans="1:13" ht="12.75" customHeight="1" x14ac:dyDescent="0.2">
      <c r="A27" s="53" t="s">
        <v>36</v>
      </c>
      <c r="B27" s="54">
        <v>387</v>
      </c>
      <c r="C27" s="54">
        <v>204</v>
      </c>
      <c r="D27" s="54">
        <v>37</v>
      </c>
      <c r="E27" s="54">
        <v>64</v>
      </c>
      <c r="F27" s="54">
        <v>46</v>
      </c>
      <c r="G27" s="54">
        <v>57</v>
      </c>
      <c r="H27" s="54">
        <v>183</v>
      </c>
      <c r="I27" s="54">
        <v>34</v>
      </c>
      <c r="J27" s="54">
        <v>34</v>
      </c>
      <c r="K27" s="54">
        <v>37</v>
      </c>
      <c r="L27" s="54">
        <v>36</v>
      </c>
      <c r="M27" s="54">
        <v>42</v>
      </c>
    </row>
    <row r="28" spans="1:13" ht="12.75" customHeight="1" x14ac:dyDescent="0.2">
      <c r="A28" s="53" t="s">
        <v>37</v>
      </c>
      <c r="B28" s="54">
        <v>323</v>
      </c>
      <c r="C28" s="54">
        <v>323</v>
      </c>
      <c r="D28" s="54">
        <v>81</v>
      </c>
      <c r="E28" s="54">
        <v>89</v>
      </c>
      <c r="F28" s="54">
        <v>74</v>
      </c>
      <c r="G28" s="54">
        <v>79</v>
      </c>
      <c r="H28" s="54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1:13" ht="12.75" customHeight="1" x14ac:dyDescent="0.2">
      <c r="A29" s="53" t="s">
        <v>38</v>
      </c>
      <c r="B29" s="54">
        <v>470</v>
      </c>
      <c r="C29" s="54">
        <v>326</v>
      </c>
      <c r="D29" s="54">
        <v>69</v>
      </c>
      <c r="E29" s="54">
        <v>73</v>
      </c>
      <c r="F29" s="54">
        <v>96</v>
      </c>
      <c r="G29" s="54">
        <v>88</v>
      </c>
      <c r="H29" s="54">
        <v>144</v>
      </c>
      <c r="I29" s="54">
        <v>29</v>
      </c>
      <c r="J29" s="54">
        <v>23</v>
      </c>
      <c r="K29" s="54">
        <v>19</v>
      </c>
      <c r="L29" s="54">
        <v>40</v>
      </c>
      <c r="M29" s="54">
        <v>33</v>
      </c>
    </row>
    <row r="30" spans="1:13" ht="12.75" customHeight="1" x14ac:dyDescent="0.2">
      <c r="A30" s="53" t="s">
        <v>39</v>
      </c>
      <c r="B30" s="54">
        <v>1051</v>
      </c>
      <c r="C30" s="54">
        <v>896</v>
      </c>
      <c r="D30" s="54">
        <v>213</v>
      </c>
      <c r="E30" s="54">
        <v>214</v>
      </c>
      <c r="F30" s="54">
        <v>250</v>
      </c>
      <c r="G30" s="54">
        <v>219</v>
      </c>
      <c r="H30" s="54">
        <v>155</v>
      </c>
      <c r="I30" s="54">
        <v>37</v>
      </c>
      <c r="J30" s="54">
        <v>37</v>
      </c>
      <c r="K30" s="54">
        <v>21</v>
      </c>
      <c r="L30" s="54">
        <v>34</v>
      </c>
      <c r="M30" s="54">
        <v>26</v>
      </c>
    </row>
    <row r="31" spans="1:13" ht="12.75" customHeight="1" x14ac:dyDescent="0.2">
      <c r="A31" s="53" t="s">
        <v>40</v>
      </c>
      <c r="B31" s="54">
        <v>581</v>
      </c>
      <c r="C31" s="54">
        <v>419</v>
      </c>
      <c r="D31" s="54">
        <v>95</v>
      </c>
      <c r="E31" s="54">
        <v>109</v>
      </c>
      <c r="F31" s="54">
        <v>109</v>
      </c>
      <c r="G31" s="54">
        <v>106</v>
      </c>
      <c r="H31" s="54">
        <v>162</v>
      </c>
      <c r="I31" s="54">
        <v>37</v>
      </c>
      <c r="J31" s="54">
        <v>38</v>
      </c>
      <c r="K31" s="54">
        <v>31</v>
      </c>
      <c r="L31" s="54">
        <v>25</v>
      </c>
      <c r="M31" s="54">
        <v>31</v>
      </c>
    </row>
    <row r="32" spans="1:13" ht="12.75" customHeight="1" x14ac:dyDescent="0.2">
      <c r="A32" s="53" t="s">
        <v>41</v>
      </c>
      <c r="B32" s="54">
        <v>762</v>
      </c>
      <c r="C32" s="54">
        <v>535</v>
      </c>
      <c r="D32" s="54">
        <v>119</v>
      </c>
      <c r="E32" s="54">
        <v>127</v>
      </c>
      <c r="F32" s="54">
        <v>139</v>
      </c>
      <c r="G32" s="54">
        <v>150</v>
      </c>
      <c r="H32" s="54">
        <v>227</v>
      </c>
      <c r="I32" s="54">
        <v>35</v>
      </c>
      <c r="J32" s="54">
        <v>45</v>
      </c>
      <c r="K32" s="54">
        <v>43</v>
      </c>
      <c r="L32" s="54">
        <v>37</v>
      </c>
      <c r="M32" s="54">
        <v>67</v>
      </c>
    </row>
    <row r="33" spans="1:13" ht="12.75" customHeight="1" x14ac:dyDescent="0.2">
      <c r="A33" s="53" t="s">
        <v>42</v>
      </c>
      <c r="B33" s="54">
        <v>1838</v>
      </c>
      <c r="C33" s="54">
        <v>1430</v>
      </c>
      <c r="D33" s="54">
        <v>355</v>
      </c>
      <c r="E33" s="54">
        <v>373</v>
      </c>
      <c r="F33" s="54">
        <v>359</v>
      </c>
      <c r="G33" s="54">
        <v>343</v>
      </c>
      <c r="H33" s="54">
        <v>408</v>
      </c>
      <c r="I33" s="54">
        <v>66</v>
      </c>
      <c r="J33" s="54">
        <v>81</v>
      </c>
      <c r="K33" s="54">
        <v>70</v>
      </c>
      <c r="L33" s="54">
        <v>83</v>
      </c>
      <c r="M33" s="54">
        <v>108</v>
      </c>
    </row>
    <row r="34" spans="1:13" ht="12.75" customHeight="1" x14ac:dyDescent="0.2">
      <c r="A34" s="53" t="s">
        <v>43</v>
      </c>
      <c r="B34" s="54">
        <v>402</v>
      </c>
      <c r="C34" s="54">
        <v>273</v>
      </c>
      <c r="D34" s="54">
        <v>64</v>
      </c>
      <c r="E34" s="54">
        <v>68</v>
      </c>
      <c r="F34" s="54">
        <v>63</v>
      </c>
      <c r="G34" s="54">
        <v>78</v>
      </c>
      <c r="H34" s="54">
        <v>129</v>
      </c>
      <c r="I34" s="54">
        <v>25</v>
      </c>
      <c r="J34" s="54">
        <v>16</v>
      </c>
      <c r="K34" s="54">
        <v>35</v>
      </c>
      <c r="L34" s="54">
        <v>18</v>
      </c>
      <c r="M34" s="54">
        <v>35</v>
      </c>
    </row>
    <row r="35" spans="1:13" ht="12.75" customHeight="1" x14ac:dyDescent="0.2">
      <c r="A35" s="53" t="s">
        <v>44</v>
      </c>
      <c r="B35" s="54">
        <v>1601</v>
      </c>
      <c r="C35" s="54">
        <v>1292</v>
      </c>
      <c r="D35" s="54">
        <v>340</v>
      </c>
      <c r="E35" s="54">
        <v>327</v>
      </c>
      <c r="F35" s="54">
        <v>306</v>
      </c>
      <c r="G35" s="54">
        <v>319</v>
      </c>
      <c r="H35" s="54">
        <v>309</v>
      </c>
      <c r="I35" s="54">
        <v>63</v>
      </c>
      <c r="J35" s="54">
        <v>57</v>
      </c>
      <c r="K35" s="54">
        <v>46</v>
      </c>
      <c r="L35" s="54">
        <v>70</v>
      </c>
      <c r="M35" s="54">
        <v>73</v>
      </c>
    </row>
    <row r="36" spans="1:13" ht="12.75" customHeight="1" x14ac:dyDescent="0.2">
      <c r="A36" s="53" t="s">
        <v>45</v>
      </c>
      <c r="B36" s="54">
        <v>1766</v>
      </c>
      <c r="C36" s="54">
        <v>1313</v>
      </c>
      <c r="D36" s="54">
        <v>318</v>
      </c>
      <c r="E36" s="54">
        <v>340</v>
      </c>
      <c r="F36" s="54">
        <v>333</v>
      </c>
      <c r="G36" s="54">
        <v>322</v>
      </c>
      <c r="H36" s="54">
        <v>453</v>
      </c>
      <c r="I36" s="54">
        <v>87</v>
      </c>
      <c r="J36" s="54">
        <v>71</v>
      </c>
      <c r="K36" s="54">
        <v>83</v>
      </c>
      <c r="L36" s="54">
        <v>89</v>
      </c>
      <c r="M36" s="54">
        <v>123</v>
      </c>
    </row>
    <row r="37" spans="1:13" ht="12.75" customHeight="1" x14ac:dyDescent="0.2">
      <c r="A37" s="55" t="s">
        <v>46</v>
      </c>
      <c r="B37" s="54">
        <f>SUM(B19:B36)</f>
        <v>17649</v>
      </c>
      <c r="C37" s="54">
        <v>13357</v>
      </c>
      <c r="D37" s="54">
        <v>3232</v>
      </c>
      <c r="E37" s="54">
        <v>3349</v>
      </c>
      <c r="F37" s="54">
        <v>3436</v>
      </c>
      <c r="G37" s="54">
        <v>3340</v>
      </c>
      <c r="H37" s="54">
        <v>4292</v>
      </c>
      <c r="I37" s="54">
        <v>807</v>
      </c>
      <c r="J37" s="54">
        <v>748</v>
      </c>
      <c r="K37" s="54">
        <v>748</v>
      </c>
      <c r="L37" s="54">
        <v>862</v>
      </c>
      <c r="M37" s="54">
        <v>1127</v>
      </c>
    </row>
    <row r="38" spans="1:13" ht="6" customHeight="1" x14ac:dyDescent="0.2">
      <c r="A38" s="53"/>
      <c r="B38" s="54"/>
      <c r="C38" s="54"/>
      <c r="H38" s="54"/>
    </row>
    <row r="39" spans="1:13" ht="12.75" customHeight="1" x14ac:dyDescent="0.2">
      <c r="A39" s="55" t="s">
        <v>47</v>
      </c>
      <c r="B39" s="56">
        <f>+B17+B37</f>
        <v>23864</v>
      </c>
      <c r="C39" s="56">
        <v>17827</v>
      </c>
      <c r="D39" s="56">
        <v>4310</v>
      </c>
      <c r="E39" s="56">
        <v>4503</v>
      </c>
      <c r="F39" s="56">
        <v>4527</v>
      </c>
      <c r="G39" s="56">
        <v>4487</v>
      </c>
      <c r="H39" s="56">
        <v>6037</v>
      </c>
      <c r="I39" s="56">
        <v>1116</v>
      </c>
      <c r="J39" s="56">
        <v>1041</v>
      </c>
      <c r="K39" s="56">
        <v>1052</v>
      </c>
      <c r="L39" s="56">
        <v>1208</v>
      </c>
      <c r="M39" s="56">
        <v>1620</v>
      </c>
    </row>
    <row r="40" spans="1:13" s="66" customFormat="1" ht="12.75" customHeight="1" x14ac:dyDescent="0.25">
      <c r="A40" s="64" t="s">
        <v>75</v>
      </c>
      <c r="B40" s="65"/>
      <c r="C40" s="65"/>
      <c r="D40" s="65"/>
      <c r="E40" s="65"/>
      <c r="F40" s="65"/>
      <c r="G40" s="65"/>
      <c r="H40" s="65"/>
      <c r="I40" s="65"/>
    </row>
    <row r="41" spans="1:13" ht="12.75" customHeight="1" x14ac:dyDescent="0.2">
      <c r="A41" s="59" t="s">
        <v>83</v>
      </c>
      <c r="B41" s="58"/>
      <c r="C41" s="58"/>
      <c r="D41" s="58"/>
    </row>
    <row r="42" spans="1:13" ht="6" customHeight="1" x14ac:dyDescent="0.2">
      <c r="A42" s="58"/>
      <c r="B42" s="58"/>
      <c r="C42" s="58"/>
      <c r="D42" s="58"/>
    </row>
    <row r="43" spans="1:13" ht="12.75" customHeight="1" x14ac:dyDescent="0.2">
      <c r="A43" s="60" t="s">
        <v>78</v>
      </c>
      <c r="B43" s="58"/>
      <c r="C43" s="58"/>
      <c r="D43" s="58"/>
    </row>
    <row r="65" spans="1:1" ht="10.199999999999999" x14ac:dyDescent="0.2">
      <c r="A65" s="45"/>
    </row>
    <row r="66" spans="1:1" ht="10.199999999999999" x14ac:dyDescent="0.2"/>
  </sheetData>
  <mergeCells count="6">
    <mergeCell ref="I7:M9"/>
    <mergeCell ref="H7:H10"/>
    <mergeCell ref="A6:A10"/>
    <mergeCell ref="B6:B10"/>
    <mergeCell ref="C7:C10"/>
    <mergeCell ref="D7:G9"/>
  </mergeCells>
  <phoneticPr fontId="5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activeCell="A4" sqref="A4"/>
    </sheetView>
  </sheetViews>
  <sheetFormatPr baseColWidth="10" defaultColWidth="8.42578125" defaultRowHeight="12.75" customHeight="1" x14ac:dyDescent="0.2"/>
  <cols>
    <col min="1" max="1" width="21.7109375" style="20" customWidth="1"/>
    <col min="2" max="13" width="8" style="20" customWidth="1"/>
    <col min="14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26.25" customHeight="1" x14ac:dyDescent="0.25">
      <c r="A3" s="68" t="s">
        <v>108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12.75" customHeight="1" thickBot="1" x14ac:dyDescent="0.25">
      <c r="A5" s="80" t="s">
        <v>8</v>
      </c>
      <c r="B5" s="80" t="s">
        <v>82</v>
      </c>
      <c r="C5" s="47" t="s">
        <v>4</v>
      </c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4" ht="12.75" customHeight="1" thickBot="1" x14ac:dyDescent="0.25">
      <c r="A6" s="77"/>
      <c r="B6" s="77"/>
      <c r="C6" s="82" t="s">
        <v>85</v>
      </c>
      <c r="D6" s="77" t="s">
        <v>77</v>
      </c>
      <c r="E6" s="78"/>
      <c r="F6" s="78"/>
      <c r="G6" s="78"/>
      <c r="H6" s="82" t="s">
        <v>88</v>
      </c>
      <c r="I6" s="77" t="s">
        <v>77</v>
      </c>
      <c r="J6" s="78"/>
      <c r="K6" s="78"/>
      <c r="L6" s="78"/>
      <c r="M6" s="79"/>
    </row>
    <row r="7" spans="1:14" ht="12.75" customHeight="1" thickBot="1" x14ac:dyDescent="0.25">
      <c r="A7" s="77"/>
      <c r="B7" s="77"/>
      <c r="C7" s="77"/>
      <c r="D7" s="78"/>
      <c r="E7" s="78"/>
      <c r="F7" s="78"/>
      <c r="G7" s="78"/>
      <c r="H7" s="77"/>
      <c r="I7" s="78"/>
      <c r="J7" s="78"/>
      <c r="K7" s="78"/>
      <c r="L7" s="78"/>
      <c r="M7" s="79"/>
    </row>
    <row r="8" spans="1:14" ht="12.75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2.75" customHeight="1" thickBot="1" x14ac:dyDescent="0.25">
      <c r="A9" s="77"/>
      <c r="B9" s="77"/>
      <c r="C9" s="77"/>
      <c r="D9" s="61">
        <v>1</v>
      </c>
      <c r="E9" s="61">
        <v>2</v>
      </c>
      <c r="F9" s="61">
        <v>3</v>
      </c>
      <c r="G9" s="62">
        <v>4</v>
      </c>
      <c r="H9" s="77"/>
      <c r="I9" s="61">
        <v>5</v>
      </c>
      <c r="J9" s="61">
        <v>6</v>
      </c>
      <c r="K9" s="61">
        <v>7</v>
      </c>
      <c r="L9" s="61">
        <v>8</v>
      </c>
      <c r="M9" s="51" t="s">
        <v>21</v>
      </c>
    </row>
    <row r="10" spans="1:14" ht="12.75" customHeight="1" x14ac:dyDescent="0.2">
      <c r="A10" s="5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 t="s">
        <v>76</v>
      </c>
    </row>
    <row r="11" spans="1:14" ht="12.75" customHeight="1" x14ac:dyDescent="0.2">
      <c r="A11" s="53" t="s">
        <v>22</v>
      </c>
      <c r="B11" s="54">
        <v>269</v>
      </c>
      <c r="C11" s="54">
        <v>269</v>
      </c>
      <c r="D11" s="54">
        <v>63</v>
      </c>
      <c r="E11" s="54">
        <v>74</v>
      </c>
      <c r="F11" s="54">
        <v>65</v>
      </c>
      <c r="G11" s="54">
        <v>67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</row>
    <row r="12" spans="1:14" ht="12.75" customHeight="1" x14ac:dyDescent="0.2">
      <c r="A12" s="53" t="s">
        <v>23</v>
      </c>
      <c r="B12" s="54">
        <v>1163</v>
      </c>
      <c r="C12" s="54">
        <v>978</v>
      </c>
      <c r="D12" s="54">
        <v>238</v>
      </c>
      <c r="E12" s="54">
        <v>224</v>
      </c>
      <c r="F12" s="54">
        <v>265</v>
      </c>
      <c r="G12" s="54">
        <v>251</v>
      </c>
      <c r="H12" s="54">
        <v>185</v>
      </c>
      <c r="I12" s="54">
        <v>17</v>
      </c>
      <c r="J12" s="54">
        <v>38</v>
      </c>
      <c r="K12" s="54">
        <v>41</v>
      </c>
      <c r="L12" s="54">
        <v>34</v>
      </c>
      <c r="M12" s="54">
        <v>55</v>
      </c>
    </row>
    <row r="13" spans="1:14" ht="12.75" customHeight="1" x14ac:dyDescent="0.2">
      <c r="A13" s="53" t="s">
        <v>24</v>
      </c>
      <c r="B13" s="54">
        <v>2037</v>
      </c>
      <c r="C13" s="54">
        <v>1443</v>
      </c>
      <c r="D13" s="54">
        <v>353</v>
      </c>
      <c r="E13" s="54">
        <v>345</v>
      </c>
      <c r="F13" s="54">
        <v>378</v>
      </c>
      <c r="G13" s="54">
        <v>367</v>
      </c>
      <c r="H13" s="54">
        <v>594</v>
      </c>
      <c r="I13" s="54">
        <v>120</v>
      </c>
      <c r="J13" s="54">
        <v>105</v>
      </c>
      <c r="K13" s="54">
        <v>113</v>
      </c>
      <c r="L13" s="54">
        <v>120</v>
      </c>
      <c r="M13" s="54">
        <v>136</v>
      </c>
    </row>
    <row r="14" spans="1:14" ht="12.75" customHeight="1" x14ac:dyDescent="0.2">
      <c r="A14" s="53" t="s">
        <v>25</v>
      </c>
      <c r="B14" s="54">
        <v>1460</v>
      </c>
      <c r="C14" s="54">
        <v>951</v>
      </c>
      <c r="D14" s="54">
        <v>256</v>
      </c>
      <c r="E14" s="54">
        <v>229</v>
      </c>
      <c r="F14" s="54">
        <v>256</v>
      </c>
      <c r="G14" s="54">
        <v>210</v>
      </c>
      <c r="H14" s="54">
        <v>509</v>
      </c>
      <c r="I14" s="21">
        <v>83</v>
      </c>
      <c r="J14" s="21">
        <v>97</v>
      </c>
      <c r="K14" s="21">
        <v>103</v>
      </c>
      <c r="L14" s="21">
        <v>104</v>
      </c>
      <c r="M14" s="21">
        <v>122</v>
      </c>
    </row>
    <row r="15" spans="1:14" ht="12.75" customHeight="1" x14ac:dyDescent="0.2">
      <c r="A15" s="53" t="s">
        <v>26</v>
      </c>
      <c r="B15" s="54">
        <v>1407</v>
      </c>
      <c r="C15" s="54">
        <v>887</v>
      </c>
      <c r="D15" s="54">
        <v>216</v>
      </c>
      <c r="E15" s="54">
        <v>197</v>
      </c>
      <c r="F15" s="54">
        <v>248</v>
      </c>
      <c r="G15" s="54">
        <v>226</v>
      </c>
      <c r="H15" s="54">
        <v>520</v>
      </c>
      <c r="I15" s="21">
        <v>84</v>
      </c>
      <c r="J15" s="21">
        <v>79</v>
      </c>
      <c r="K15" s="21">
        <v>99</v>
      </c>
      <c r="L15" s="21">
        <v>83</v>
      </c>
      <c r="M15" s="20">
        <v>175</v>
      </c>
    </row>
    <row r="16" spans="1:14" ht="12.75" customHeight="1" x14ac:dyDescent="0.2">
      <c r="A16" s="55" t="s">
        <v>27</v>
      </c>
      <c r="B16" s="54">
        <v>6336</v>
      </c>
      <c r="C16" s="54">
        <v>4528</v>
      </c>
      <c r="D16" s="20">
        <v>1126</v>
      </c>
      <c r="E16" s="20">
        <v>1069</v>
      </c>
      <c r="F16" s="20">
        <v>1212</v>
      </c>
      <c r="G16" s="20">
        <v>1121</v>
      </c>
      <c r="H16" s="54">
        <v>1808</v>
      </c>
      <c r="I16" s="20">
        <v>304</v>
      </c>
      <c r="J16" s="20">
        <v>319</v>
      </c>
      <c r="K16" s="20">
        <v>356</v>
      </c>
      <c r="L16" s="20">
        <v>341</v>
      </c>
      <c r="M16" s="20">
        <v>488</v>
      </c>
    </row>
    <row r="17" spans="1:13" ht="6" customHeight="1" x14ac:dyDescent="0.2">
      <c r="A17" s="53"/>
      <c r="B17" s="54"/>
      <c r="C17" s="54"/>
      <c r="H17" s="54"/>
    </row>
    <row r="18" spans="1:13" ht="12.75" customHeight="1" x14ac:dyDescent="0.2">
      <c r="A18" s="53" t="s">
        <v>28</v>
      </c>
      <c r="B18" s="54">
        <v>3125</v>
      </c>
      <c r="C18" s="54">
        <v>2378</v>
      </c>
      <c r="D18" s="54">
        <v>575</v>
      </c>
      <c r="E18" s="54">
        <v>618</v>
      </c>
      <c r="F18" s="54">
        <v>593</v>
      </c>
      <c r="G18" s="54">
        <v>592</v>
      </c>
      <c r="H18" s="54">
        <v>747</v>
      </c>
      <c r="I18" s="54">
        <v>140</v>
      </c>
      <c r="J18" s="54">
        <v>123</v>
      </c>
      <c r="K18" s="54">
        <v>146</v>
      </c>
      <c r="L18" s="54">
        <v>169</v>
      </c>
      <c r="M18" s="54">
        <v>169</v>
      </c>
    </row>
    <row r="19" spans="1:13" ht="12.75" customHeight="1" x14ac:dyDescent="0.2">
      <c r="A19" s="53" t="s">
        <v>29</v>
      </c>
      <c r="B19" s="54">
        <v>225</v>
      </c>
      <c r="C19" s="54">
        <v>225</v>
      </c>
      <c r="D19" s="54">
        <v>49</v>
      </c>
      <c r="E19" s="54">
        <v>57</v>
      </c>
      <c r="F19" s="54">
        <v>48</v>
      </c>
      <c r="G19" s="54">
        <v>71</v>
      </c>
      <c r="H19" s="54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</row>
    <row r="20" spans="1:13" ht="12.75" customHeight="1" x14ac:dyDescent="0.2">
      <c r="A20" s="53" t="s">
        <v>30</v>
      </c>
      <c r="B20" s="54">
        <v>423</v>
      </c>
      <c r="C20" s="54">
        <v>423</v>
      </c>
      <c r="D20" s="54">
        <v>111</v>
      </c>
      <c r="E20" s="54">
        <v>105</v>
      </c>
      <c r="F20" s="54">
        <v>104</v>
      </c>
      <c r="G20" s="54">
        <v>103</v>
      </c>
      <c r="H20" s="54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3" ht="12.75" customHeight="1" x14ac:dyDescent="0.2">
      <c r="A21" s="53" t="s">
        <v>31</v>
      </c>
      <c r="B21" s="54">
        <v>703</v>
      </c>
      <c r="C21" s="54">
        <v>611</v>
      </c>
      <c r="D21" s="54">
        <v>128</v>
      </c>
      <c r="E21" s="54">
        <v>158</v>
      </c>
      <c r="F21" s="54">
        <v>172</v>
      </c>
      <c r="G21" s="54">
        <v>153</v>
      </c>
      <c r="H21" s="54">
        <v>92</v>
      </c>
      <c r="I21" s="54">
        <v>15</v>
      </c>
      <c r="J21" s="54">
        <v>15</v>
      </c>
      <c r="K21" s="54">
        <v>17</v>
      </c>
      <c r="L21" s="54">
        <v>25</v>
      </c>
      <c r="M21" s="54">
        <v>20</v>
      </c>
    </row>
    <row r="22" spans="1:13" ht="12.75" customHeight="1" x14ac:dyDescent="0.2">
      <c r="A22" s="53" t="s">
        <v>32</v>
      </c>
      <c r="B22" s="54">
        <v>1282</v>
      </c>
      <c r="C22" s="54">
        <v>909</v>
      </c>
      <c r="D22" s="54">
        <v>242</v>
      </c>
      <c r="E22" s="54">
        <v>214</v>
      </c>
      <c r="F22" s="54">
        <v>216</v>
      </c>
      <c r="G22" s="54">
        <v>237</v>
      </c>
      <c r="H22" s="54">
        <v>373</v>
      </c>
      <c r="I22" s="54">
        <v>53</v>
      </c>
      <c r="J22" s="54">
        <v>63</v>
      </c>
      <c r="K22" s="54">
        <v>58</v>
      </c>
      <c r="L22" s="54">
        <v>80</v>
      </c>
      <c r="M22" s="54">
        <v>119</v>
      </c>
    </row>
    <row r="23" spans="1:13" ht="12.75" customHeight="1" x14ac:dyDescent="0.2">
      <c r="A23" s="53" t="s">
        <v>33</v>
      </c>
      <c r="B23" s="54">
        <v>516</v>
      </c>
      <c r="C23" s="54">
        <v>309</v>
      </c>
      <c r="D23" s="54">
        <v>63</v>
      </c>
      <c r="E23" s="54">
        <v>73</v>
      </c>
      <c r="F23" s="54">
        <v>94</v>
      </c>
      <c r="G23" s="54">
        <v>79</v>
      </c>
      <c r="H23" s="54">
        <v>207</v>
      </c>
      <c r="I23" s="54">
        <v>30</v>
      </c>
      <c r="J23" s="54">
        <v>35</v>
      </c>
      <c r="K23" s="54">
        <v>35</v>
      </c>
      <c r="L23" s="54">
        <v>42</v>
      </c>
      <c r="M23" s="54">
        <v>65</v>
      </c>
    </row>
    <row r="24" spans="1:13" ht="12.75" customHeight="1" x14ac:dyDescent="0.2">
      <c r="A24" s="53" t="s">
        <v>34</v>
      </c>
      <c r="B24" s="54">
        <v>931</v>
      </c>
      <c r="C24" s="54">
        <v>685</v>
      </c>
      <c r="D24" s="54">
        <v>160</v>
      </c>
      <c r="E24" s="54">
        <v>180</v>
      </c>
      <c r="F24" s="54">
        <v>183</v>
      </c>
      <c r="G24" s="54">
        <v>162</v>
      </c>
      <c r="H24" s="54">
        <v>246</v>
      </c>
      <c r="I24" s="54">
        <v>43</v>
      </c>
      <c r="J24" s="54">
        <v>35</v>
      </c>
      <c r="K24" s="54">
        <v>42</v>
      </c>
      <c r="L24" s="54">
        <v>62</v>
      </c>
      <c r="M24" s="54">
        <v>64</v>
      </c>
    </row>
    <row r="25" spans="1:13" ht="12.75" customHeight="1" x14ac:dyDescent="0.2">
      <c r="A25" s="53" t="s">
        <v>35</v>
      </c>
      <c r="B25" s="54">
        <v>1468</v>
      </c>
      <c r="C25" s="54">
        <v>909</v>
      </c>
      <c r="D25" s="54">
        <v>224</v>
      </c>
      <c r="E25" s="54">
        <v>226</v>
      </c>
      <c r="F25" s="54">
        <v>236</v>
      </c>
      <c r="G25" s="54">
        <v>223</v>
      </c>
      <c r="H25" s="54">
        <v>559</v>
      </c>
      <c r="I25" s="54">
        <v>87</v>
      </c>
      <c r="J25" s="54">
        <v>93</v>
      </c>
      <c r="K25" s="54">
        <v>114</v>
      </c>
      <c r="L25" s="54">
        <v>123</v>
      </c>
      <c r="M25" s="54">
        <v>142</v>
      </c>
    </row>
    <row r="26" spans="1:13" ht="12.75" customHeight="1" x14ac:dyDescent="0.2">
      <c r="A26" s="53" t="s">
        <v>36</v>
      </c>
      <c r="B26" s="54">
        <v>387</v>
      </c>
      <c r="C26" s="54">
        <v>199</v>
      </c>
      <c r="D26" s="54">
        <v>44</v>
      </c>
      <c r="E26" s="54">
        <v>49</v>
      </c>
      <c r="F26" s="54">
        <v>53</v>
      </c>
      <c r="G26" s="54">
        <v>53</v>
      </c>
      <c r="H26" s="54">
        <v>188</v>
      </c>
      <c r="I26" s="54">
        <v>34</v>
      </c>
      <c r="J26" s="54">
        <v>38</v>
      </c>
      <c r="K26" s="54">
        <v>33</v>
      </c>
      <c r="L26" s="54">
        <v>43</v>
      </c>
      <c r="M26" s="54">
        <v>40</v>
      </c>
    </row>
    <row r="27" spans="1:13" ht="12.75" customHeight="1" x14ac:dyDescent="0.2">
      <c r="A27" s="53" t="s">
        <v>37</v>
      </c>
      <c r="B27" s="54">
        <v>317</v>
      </c>
      <c r="C27" s="54">
        <v>317</v>
      </c>
      <c r="D27" s="54">
        <v>86</v>
      </c>
      <c r="E27" s="54">
        <v>75</v>
      </c>
      <c r="F27" s="54">
        <v>81</v>
      </c>
      <c r="G27" s="54">
        <v>75</v>
      </c>
      <c r="H27" s="54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</row>
    <row r="28" spans="1:13" ht="12.75" customHeight="1" x14ac:dyDescent="0.2">
      <c r="A28" s="53" t="s">
        <v>38</v>
      </c>
      <c r="B28" s="54">
        <v>496</v>
      </c>
      <c r="C28" s="54">
        <v>367</v>
      </c>
      <c r="D28" s="54">
        <v>72</v>
      </c>
      <c r="E28" s="54">
        <v>97</v>
      </c>
      <c r="F28" s="54">
        <v>97</v>
      </c>
      <c r="G28" s="54">
        <v>101</v>
      </c>
      <c r="H28" s="54">
        <v>129</v>
      </c>
      <c r="I28" s="54">
        <v>22</v>
      </c>
      <c r="J28" s="54">
        <v>18</v>
      </c>
      <c r="K28" s="54">
        <v>36</v>
      </c>
      <c r="L28" s="54">
        <v>35</v>
      </c>
      <c r="M28" s="54">
        <v>18</v>
      </c>
    </row>
    <row r="29" spans="1:13" ht="12.75" customHeight="1" x14ac:dyDescent="0.2">
      <c r="A29" s="53" t="s">
        <v>39</v>
      </c>
      <c r="B29" s="54">
        <v>1094</v>
      </c>
      <c r="C29" s="54">
        <v>928</v>
      </c>
      <c r="D29" s="54">
        <v>269</v>
      </c>
      <c r="E29" s="54">
        <v>204</v>
      </c>
      <c r="F29" s="54">
        <v>233</v>
      </c>
      <c r="G29" s="54">
        <v>222</v>
      </c>
      <c r="H29" s="54">
        <v>166</v>
      </c>
      <c r="I29" s="54">
        <v>41</v>
      </c>
      <c r="J29" s="54">
        <v>34</v>
      </c>
      <c r="K29" s="54">
        <v>37</v>
      </c>
      <c r="L29" s="54">
        <v>28</v>
      </c>
      <c r="M29" s="54">
        <v>26</v>
      </c>
    </row>
    <row r="30" spans="1:13" ht="12.75" customHeight="1" x14ac:dyDescent="0.2">
      <c r="A30" s="53" t="s">
        <v>40</v>
      </c>
      <c r="B30" s="54">
        <v>632</v>
      </c>
      <c r="C30" s="54">
        <v>450</v>
      </c>
      <c r="D30" s="54">
        <v>110</v>
      </c>
      <c r="E30" s="54">
        <v>113</v>
      </c>
      <c r="F30" s="54">
        <v>105</v>
      </c>
      <c r="G30" s="54">
        <v>122</v>
      </c>
      <c r="H30" s="54">
        <v>182</v>
      </c>
      <c r="I30" s="54">
        <v>49</v>
      </c>
      <c r="J30" s="54">
        <v>34</v>
      </c>
      <c r="K30" s="54">
        <v>27</v>
      </c>
      <c r="L30" s="54">
        <v>35</v>
      </c>
      <c r="M30" s="54">
        <v>37</v>
      </c>
    </row>
    <row r="31" spans="1:13" ht="12.75" customHeight="1" x14ac:dyDescent="0.2">
      <c r="A31" s="53" t="s">
        <v>41</v>
      </c>
      <c r="B31" s="54">
        <v>775</v>
      </c>
      <c r="C31" s="54">
        <v>561</v>
      </c>
      <c r="D31" s="54">
        <v>116</v>
      </c>
      <c r="E31" s="54">
        <v>136</v>
      </c>
      <c r="F31" s="54">
        <v>150</v>
      </c>
      <c r="G31" s="54">
        <v>159</v>
      </c>
      <c r="H31" s="54">
        <v>214</v>
      </c>
      <c r="I31" s="54">
        <v>49</v>
      </c>
      <c r="J31" s="54">
        <v>42</v>
      </c>
      <c r="K31" s="54">
        <v>36</v>
      </c>
      <c r="L31" s="54">
        <v>50</v>
      </c>
      <c r="M31" s="54">
        <v>37</v>
      </c>
    </row>
    <row r="32" spans="1:13" ht="12.75" customHeight="1" x14ac:dyDescent="0.2">
      <c r="A32" s="53" t="s">
        <v>42</v>
      </c>
      <c r="B32" s="54">
        <v>1841</v>
      </c>
      <c r="C32" s="54">
        <v>1412</v>
      </c>
      <c r="D32" s="54">
        <v>366</v>
      </c>
      <c r="E32" s="54">
        <v>365</v>
      </c>
      <c r="F32" s="54">
        <v>351</v>
      </c>
      <c r="G32" s="54">
        <v>330</v>
      </c>
      <c r="H32" s="54">
        <v>429</v>
      </c>
      <c r="I32" s="54">
        <v>98</v>
      </c>
      <c r="J32" s="54">
        <v>67</v>
      </c>
      <c r="K32" s="54">
        <v>80</v>
      </c>
      <c r="L32" s="54">
        <v>86</v>
      </c>
      <c r="M32" s="54">
        <v>98</v>
      </c>
    </row>
    <row r="33" spans="1:13" ht="12.75" customHeight="1" x14ac:dyDescent="0.2">
      <c r="A33" s="53" t="s">
        <v>43</v>
      </c>
      <c r="B33" s="54">
        <v>394</v>
      </c>
      <c r="C33" s="54">
        <v>270</v>
      </c>
      <c r="D33" s="54">
        <v>61</v>
      </c>
      <c r="E33" s="54">
        <v>66</v>
      </c>
      <c r="F33" s="54">
        <v>72</v>
      </c>
      <c r="G33" s="54">
        <v>71</v>
      </c>
      <c r="H33" s="54">
        <v>124</v>
      </c>
      <c r="I33" s="54">
        <v>14</v>
      </c>
      <c r="J33" s="54">
        <v>36</v>
      </c>
      <c r="K33" s="54">
        <v>18</v>
      </c>
      <c r="L33" s="54">
        <v>37</v>
      </c>
      <c r="M33" s="54">
        <v>19</v>
      </c>
    </row>
    <row r="34" spans="1:13" ht="12.75" customHeight="1" x14ac:dyDescent="0.2">
      <c r="A34" s="53" t="s">
        <v>44</v>
      </c>
      <c r="B34" s="54">
        <v>1601</v>
      </c>
      <c r="C34" s="54">
        <v>1239</v>
      </c>
      <c r="D34" s="54">
        <v>316</v>
      </c>
      <c r="E34" s="54">
        <v>300</v>
      </c>
      <c r="F34" s="54">
        <v>324</v>
      </c>
      <c r="G34" s="54">
        <v>299</v>
      </c>
      <c r="H34" s="54">
        <v>362</v>
      </c>
      <c r="I34" s="54">
        <v>67</v>
      </c>
      <c r="J34" s="54">
        <v>47</v>
      </c>
      <c r="K34" s="54">
        <v>68</v>
      </c>
      <c r="L34" s="54">
        <v>82</v>
      </c>
      <c r="M34" s="54">
        <v>98</v>
      </c>
    </row>
    <row r="35" spans="1:13" ht="12.75" customHeight="1" x14ac:dyDescent="0.2">
      <c r="A35" s="53" t="s">
        <v>45</v>
      </c>
      <c r="B35" s="54">
        <v>1838</v>
      </c>
      <c r="C35" s="54">
        <v>1336</v>
      </c>
      <c r="D35" s="54">
        <v>336</v>
      </c>
      <c r="E35" s="54">
        <v>337</v>
      </c>
      <c r="F35" s="54">
        <v>332</v>
      </c>
      <c r="G35" s="54">
        <v>331</v>
      </c>
      <c r="H35" s="54">
        <v>502</v>
      </c>
      <c r="I35" s="54">
        <v>89</v>
      </c>
      <c r="J35" s="54">
        <v>88</v>
      </c>
      <c r="K35" s="54">
        <v>97</v>
      </c>
      <c r="L35" s="54">
        <v>136</v>
      </c>
      <c r="M35" s="54">
        <v>92</v>
      </c>
    </row>
    <row r="36" spans="1:13" ht="12.75" customHeight="1" x14ac:dyDescent="0.2">
      <c r="A36" s="55" t="s">
        <v>46</v>
      </c>
      <c r="B36" s="54">
        <v>18048</v>
      </c>
      <c r="C36" s="54">
        <v>13528</v>
      </c>
      <c r="D36" s="20">
        <v>3328</v>
      </c>
      <c r="E36" s="20">
        <v>3373</v>
      </c>
      <c r="F36" s="20">
        <v>3444</v>
      </c>
      <c r="G36" s="20">
        <v>3383</v>
      </c>
      <c r="H36" s="54">
        <v>4520</v>
      </c>
      <c r="I36" s="20">
        <v>831</v>
      </c>
      <c r="J36" s="20">
        <v>768</v>
      </c>
      <c r="K36" s="20">
        <v>844</v>
      </c>
      <c r="L36" s="20">
        <v>1033</v>
      </c>
      <c r="M36" s="20">
        <v>1044</v>
      </c>
    </row>
    <row r="37" spans="1:13" ht="6" customHeight="1" x14ac:dyDescent="0.2">
      <c r="A37" s="53"/>
      <c r="B37" s="54"/>
      <c r="C37" s="54"/>
      <c r="H37" s="54"/>
    </row>
    <row r="38" spans="1:13" ht="12.75" customHeight="1" x14ac:dyDescent="0.2">
      <c r="A38" s="55" t="s">
        <v>47</v>
      </c>
      <c r="B38" s="56">
        <v>24384</v>
      </c>
      <c r="C38" s="56">
        <v>18056</v>
      </c>
      <c r="D38" s="4">
        <v>4454</v>
      </c>
      <c r="E38" s="4">
        <v>4442</v>
      </c>
      <c r="F38" s="4">
        <v>4656</v>
      </c>
      <c r="G38" s="4">
        <v>4504</v>
      </c>
      <c r="H38" s="56">
        <v>6328</v>
      </c>
      <c r="I38" s="4">
        <v>1135</v>
      </c>
      <c r="J38" s="4">
        <v>1087</v>
      </c>
      <c r="K38" s="4">
        <v>1200</v>
      </c>
      <c r="L38" s="4">
        <v>1374</v>
      </c>
      <c r="M38" s="4">
        <v>1532</v>
      </c>
    </row>
    <row r="39" spans="1:13" s="66" customFormat="1" ht="12.75" customHeight="1" x14ac:dyDescent="0.25">
      <c r="A39" s="64" t="s">
        <v>75</v>
      </c>
      <c r="B39" s="65"/>
      <c r="C39" s="65"/>
      <c r="D39" s="65"/>
      <c r="E39" s="65"/>
      <c r="F39" s="65"/>
      <c r="G39" s="65"/>
      <c r="H39" s="65"/>
      <c r="I39" s="65"/>
    </row>
    <row r="40" spans="1:13" ht="12.75" customHeight="1" x14ac:dyDescent="0.2">
      <c r="A40" s="59" t="s">
        <v>84</v>
      </c>
      <c r="B40" s="58"/>
      <c r="C40" s="58"/>
      <c r="D40" s="58"/>
    </row>
    <row r="41" spans="1:13" ht="6" customHeight="1" x14ac:dyDescent="0.2">
      <c r="A41" s="58"/>
      <c r="B41" s="58"/>
      <c r="C41" s="58"/>
      <c r="D41" s="58"/>
    </row>
    <row r="42" spans="1:13" ht="12.75" customHeight="1" x14ac:dyDescent="0.2">
      <c r="A42" s="60" t="s">
        <v>78</v>
      </c>
      <c r="B42" s="58"/>
      <c r="C42" s="58"/>
      <c r="D42" s="58"/>
    </row>
    <row r="64" spans="1:1" ht="10.199999999999999" x14ac:dyDescent="0.2">
      <c r="A64" s="45"/>
    </row>
    <row r="65" ht="10.199999999999999" x14ac:dyDescent="0.2"/>
  </sheetData>
  <mergeCells count="6">
    <mergeCell ref="I6:M8"/>
    <mergeCell ref="H6:H9"/>
    <mergeCell ref="A5:A9"/>
    <mergeCell ref="B5:B9"/>
    <mergeCell ref="C6:C9"/>
    <mergeCell ref="D6:G8"/>
  </mergeCells>
  <phoneticPr fontId="5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zoomScaleNormal="100" workbookViewId="0">
      <selection activeCell="B17" sqref="B17:N34"/>
    </sheetView>
  </sheetViews>
  <sheetFormatPr baseColWidth="10" defaultColWidth="8.42578125" defaultRowHeight="12.75" customHeight="1" x14ac:dyDescent="0.2"/>
  <cols>
    <col min="1" max="1" width="21.7109375" style="20" customWidth="1"/>
    <col min="2" max="2" width="9.140625" style="20" customWidth="1"/>
    <col min="3" max="3" width="8" style="20" customWidth="1"/>
    <col min="4" max="7" width="7.7109375" style="20" customWidth="1"/>
    <col min="8" max="8" width="9.140625" style="20" customWidth="1"/>
    <col min="9" max="13" width="7.7109375" style="20" customWidth="1"/>
    <col min="14" max="14" width="6.7109375" style="20" customWidth="1"/>
    <col min="15" max="15" width="7.7109375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26.7" customHeight="1" x14ac:dyDescent="0.25">
      <c r="A3" s="68" t="s">
        <v>115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14.7" customHeight="1" thickBot="1" x14ac:dyDescent="0.25">
      <c r="A5" s="80" t="s">
        <v>8</v>
      </c>
      <c r="B5" s="81" t="s">
        <v>90</v>
      </c>
      <c r="C5" s="47" t="s">
        <v>4</v>
      </c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4" ht="14.7" customHeight="1" thickBot="1" x14ac:dyDescent="0.25">
      <c r="A6" s="77"/>
      <c r="B6" s="77"/>
      <c r="C6" s="82" t="s">
        <v>85</v>
      </c>
      <c r="D6" s="77" t="s">
        <v>77</v>
      </c>
      <c r="E6" s="78"/>
      <c r="F6" s="78"/>
      <c r="G6" s="78"/>
      <c r="H6" s="82" t="s">
        <v>89</v>
      </c>
      <c r="I6" s="77" t="s">
        <v>77</v>
      </c>
      <c r="J6" s="78"/>
      <c r="K6" s="78"/>
      <c r="L6" s="78"/>
      <c r="M6" s="79"/>
    </row>
    <row r="7" spans="1:14" ht="14.7" customHeight="1" thickBot="1" x14ac:dyDescent="0.25">
      <c r="A7" s="77"/>
      <c r="B7" s="77"/>
      <c r="C7" s="77"/>
      <c r="D7" s="78"/>
      <c r="E7" s="78"/>
      <c r="F7" s="78"/>
      <c r="G7" s="78"/>
      <c r="H7" s="77"/>
      <c r="I7" s="78"/>
      <c r="J7" s="78"/>
      <c r="K7" s="78"/>
      <c r="L7" s="78"/>
      <c r="M7" s="79"/>
    </row>
    <row r="8" spans="1:14" ht="14.7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4.7" customHeight="1" thickBot="1" x14ac:dyDescent="0.25">
      <c r="A9" s="77"/>
      <c r="B9" s="77"/>
      <c r="C9" s="77"/>
      <c r="D9" s="61">
        <v>1</v>
      </c>
      <c r="E9" s="61">
        <v>2</v>
      </c>
      <c r="F9" s="61">
        <v>3</v>
      </c>
      <c r="G9" s="62">
        <v>4</v>
      </c>
      <c r="H9" s="77"/>
      <c r="I9" s="61">
        <v>5</v>
      </c>
      <c r="J9" s="61">
        <v>6</v>
      </c>
      <c r="K9" s="61">
        <v>7</v>
      </c>
      <c r="L9" s="61">
        <v>8</v>
      </c>
      <c r="M9" s="51" t="s">
        <v>21</v>
      </c>
    </row>
    <row r="10" spans="1:14" ht="12.75" customHeight="1" x14ac:dyDescent="0.2">
      <c r="A10" s="5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 t="s">
        <v>76</v>
      </c>
    </row>
    <row r="11" spans="1:14" ht="12.75" customHeight="1" x14ac:dyDescent="0.2">
      <c r="A11" s="53" t="s">
        <v>22</v>
      </c>
      <c r="B11" s="54">
        <v>242</v>
      </c>
      <c r="C11" s="54">
        <v>242</v>
      </c>
      <c r="D11" s="54">
        <v>70</v>
      </c>
      <c r="E11" s="54">
        <v>67</v>
      </c>
      <c r="F11" s="54">
        <v>43</v>
      </c>
      <c r="G11" s="21">
        <v>62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20">
        <v>0</v>
      </c>
    </row>
    <row r="12" spans="1:14" ht="12.75" customHeight="1" x14ac:dyDescent="0.2">
      <c r="A12" s="53" t="s">
        <v>23</v>
      </c>
      <c r="B12" s="54">
        <v>1121</v>
      </c>
      <c r="C12" s="54">
        <v>942</v>
      </c>
      <c r="D12" s="54">
        <v>247</v>
      </c>
      <c r="E12" s="54">
        <v>260</v>
      </c>
      <c r="F12" s="54">
        <v>208</v>
      </c>
      <c r="G12" s="21">
        <v>227</v>
      </c>
      <c r="H12" s="54">
        <v>179</v>
      </c>
      <c r="I12" s="54">
        <v>23</v>
      </c>
      <c r="J12" s="54">
        <v>20</v>
      </c>
      <c r="K12" s="54">
        <v>19</v>
      </c>
      <c r="L12" s="54">
        <v>44</v>
      </c>
      <c r="M12" s="54">
        <v>36</v>
      </c>
      <c r="N12" s="20">
        <v>37</v>
      </c>
    </row>
    <row r="13" spans="1:14" ht="12.75" customHeight="1" x14ac:dyDescent="0.2">
      <c r="A13" s="53" t="s">
        <v>24</v>
      </c>
      <c r="B13" s="54">
        <v>1719</v>
      </c>
      <c r="C13" s="54">
        <v>1344</v>
      </c>
      <c r="D13" s="21">
        <v>371</v>
      </c>
      <c r="E13" s="21">
        <v>343</v>
      </c>
      <c r="F13" s="21">
        <v>329</v>
      </c>
      <c r="G13" s="21">
        <v>301</v>
      </c>
      <c r="H13" s="54">
        <v>375</v>
      </c>
      <c r="I13" s="21">
        <v>43</v>
      </c>
      <c r="J13" s="21">
        <v>55</v>
      </c>
      <c r="K13" s="21">
        <v>65</v>
      </c>
      <c r="L13" s="21">
        <v>64</v>
      </c>
      <c r="M13" s="21">
        <v>81</v>
      </c>
      <c r="N13" s="54">
        <v>67</v>
      </c>
    </row>
    <row r="14" spans="1:14" ht="12.75" customHeight="1" x14ac:dyDescent="0.2">
      <c r="A14" s="53" t="s">
        <v>25</v>
      </c>
      <c r="B14" s="54">
        <v>890</v>
      </c>
      <c r="C14" s="54">
        <v>890</v>
      </c>
      <c r="D14" s="21">
        <v>250</v>
      </c>
      <c r="E14" s="21">
        <v>216</v>
      </c>
      <c r="F14" s="21">
        <v>224</v>
      </c>
      <c r="G14" s="21">
        <v>200</v>
      </c>
      <c r="H14" s="54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0">
        <v>0</v>
      </c>
    </row>
    <row r="15" spans="1:14" ht="12.75" customHeight="1" x14ac:dyDescent="0.2">
      <c r="A15" s="53" t="s">
        <v>26</v>
      </c>
      <c r="B15" s="54">
        <v>987</v>
      </c>
      <c r="C15" s="54">
        <v>987</v>
      </c>
      <c r="D15" s="21">
        <v>267</v>
      </c>
      <c r="E15" s="21">
        <v>243</v>
      </c>
      <c r="F15" s="21">
        <v>239</v>
      </c>
      <c r="G15" s="21">
        <v>238</v>
      </c>
      <c r="H15" s="54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0">
        <v>0</v>
      </c>
    </row>
    <row r="16" spans="1:14" s="76" customFormat="1" ht="17.100000000000001" customHeight="1" x14ac:dyDescent="0.2">
      <c r="A16" s="73" t="s">
        <v>27</v>
      </c>
      <c r="B16" s="75">
        <f>SUM(B11:B15)</f>
        <v>4959</v>
      </c>
      <c r="C16" s="75">
        <f t="shared" ref="C16:M16" si="0">SUM(C11:C15)</f>
        <v>4405</v>
      </c>
      <c r="D16" s="75">
        <f t="shared" si="0"/>
        <v>1205</v>
      </c>
      <c r="E16" s="75">
        <f t="shared" si="0"/>
        <v>1129</v>
      </c>
      <c r="F16" s="75">
        <f t="shared" si="0"/>
        <v>1043</v>
      </c>
      <c r="G16" s="75">
        <f t="shared" si="0"/>
        <v>1028</v>
      </c>
      <c r="H16" s="75">
        <f t="shared" si="0"/>
        <v>554</v>
      </c>
      <c r="I16" s="75">
        <f t="shared" si="0"/>
        <v>66</v>
      </c>
      <c r="J16" s="75">
        <f t="shared" si="0"/>
        <v>75</v>
      </c>
      <c r="K16" s="75">
        <f t="shared" si="0"/>
        <v>84</v>
      </c>
      <c r="L16" s="75">
        <f t="shared" si="0"/>
        <v>108</v>
      </c>
      <c r="M16" s="75">
        <f t="shared" si="0"/>
        <v>117</v>
      </c>
    </row>
    <row r="17" spans="1:14" ht="12.75" customHeight="1" x14ac:dyDescent="0.2">
      <c r="A17" s="53" t="s">
        <v>28</v>
      </c>
      <c r="B17" s="54">
        <v>2230</v>
      </c>
      <c r="C17" s="54">
        <v>2230</v>
      </c>
      <c r="D17" s="54">
        <v>591</v>
      </c>
      <c r="E17" s="54">
        <v>575</v>
      </c>
      <c r="F17" s="54">
        <v>562</v>
      </c>
      <c r="G17" s="21">
        <v>502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20">
        <v>0</v>
      </c>
    </row>
    <row r="18" spans="1:14" ht="12.75" customHeight="1" x14ac:dyDescent="0.2">
      <c r="A18" s="53" t="s">
        <v>29</v>
      </c>
      <c r="B18" s="54">
        <v>202</v>
      </c>
      <c r="C18" s="54">
        <v>202</v>
      </c>
      <c r="D18" s="54">
        <v>44</v>
      </c>
      <c r="E18" s="54">
        <v>57</v>
      </c>
      <c r="F18" s="54">
        <v>44</v>
      </c>
      <c r="G18" s="21">
        <v>57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20">
        <v>0</v>
      </c>
    </row>
    <row r="19" spans="1:14" ht="12.75" customHeight="1" x14ac:dyDescent="0.2">
      <c r="A19" s="53" t="s">
        <v>30</v>
      </c>
      <c r="B19" s="54">
        <v>399</v>
      </c>
      <c r="C19" s="54">
        <v>399</v>
      </c>
      <c r="D19" s="54">
        <v>107</v>
      </c>
      <c r="E19" s="54">
        <v>92</v>
      </c>
      <c r="F19" s="54">
        <v>110</v>
      </c>
      <c r="G19" s="21">
        <v>90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20">
        <v>0</v>
      </c>
    </row>
    <row r="20" spans="1:14" ht="12.75" customHeight="1" x14ac:dyDescent="0.2">
      <c r="A20" s="53" t="s">
        <v>31</v>
      </c>
      <c r="B20" s="54">
        <v>563</v>
      </c>
      <c r="C20" s="54">
        <v>563</v>
      </c>
      <c r="D20" s="54">
        <v>145</v>
      </c>
      <c r="E20" s="54">
        <v>144</v>
      </c>
      <c r="F20" s="54">
        <v>135</v>
      </c>
      <c r="G20" s="21">
        <v>139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20">
        <v>0</v>
      </c>
    </row>
    <row r="21" spans="1:14" ht="12.75" customHeight="1" x14ac:dyDescent="0.2">
      <c r="A21" s="53" t="s">
        <v>32</v>
      </c>
      <c r="B21" s="54">
        <v>1118</v>
      </c>
      <c r="C21" s="54">
        <v>884</v>
      </c>
      <c r="D21" s="54">
        <v>228</v>
      </c>
      <c r="E21" s="54">
        <v>215</v>
      </c>
      <c r="F21" s="54">
        <v>242</v>
      </c>
      <c r="G21" s="21">
        <v>199</v>
      </c>
      <c r="H21" s="54">
        <v>234</v>
      </c>
      <c r="I21" s="54">
        <v>33</v>
      </c>
      <c r="J21" s="54">
        <v>38</v>
      </c>
      <c r="K21" s="54">
        <v>37</v>
      </c>
      <c r="L21" s="54">
        <v>63</v>
      </c>
      <c r="M21" s="54">
        <v>40</v>
      </c>
      <c r="N21" s="54">
        <v>23</v>
      </c>
    </row>
    <row r="22" spans="1:14" ht="12.75" customHeight="1" x14ac:dyDescent="0.2">
      <c r="A22" s="53" t="s">
        <v>33</v>
      </c>
      <c r="B22" s="54">
        <v>308</v>
      </c>
      <c r="C22" s="54">
        <v>308</v>
      </c>
      <c r="D22" s="54">
        <v>85</v>
      </c>
      <c r="E22" s="54">
        <v>69</v>
      </c>
      <c r="F22" s="54">
        <v>80</v>
      </c>
      <c r="G22" s="21">
        <v>74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</row>
    <row r="23" spans="1:14" ht="12.75" customHeight="1" x14ac:dyDescent="0.2">
      <c r="A23" s="53" t="s">
        <v>34</v>
      </c>
      <c r="B23" s="54">
        <v>824</v>
      </c>
      <c r="C23" s="54">
        <v>824</v>
      </c>
      <c r="D23" s="54">
        <v>213</v>
      </c>
      <c r="E23" s="54">
        <v>219</v>
      </c>
      <c r="F23" s="54">
        <v>188</v>
      </c>
      <c r="G23" s="21">
        <v>204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20">
        <v>0</v>
      </c>
    </row>
    <row r="24" spans="1:14" ht="12.75" customHeight="1" x14ac:dyDescent="0.2">
      <c r="A24" s="53" t="s">
        <v>35</v>
      </c>
      <c r="B24" s="54">
        <v>899</v>
      </c>
      <c r="C24" s="54">
        <v>899</v>
      </c>
      <c r="D24" s="54">
        <v>238</v>
      </c>
      <c r="E24" s="54">
        <v>208</v>
      </c>
      <c r="F24" s="54">
        <v>215</v>
      </c>
      <c r="G24" s="21">
        <v>238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20">
        <v>0</v>
      </c>
    </row>
    <row r="25" spans="1:14" ht="12.75" customHeight="1" x14ac:dyDescent="0.2">
      <c r="A25" s="53" t="s">
        <v>36</v>
      </c>
      <c r="B25" s="54">
        <v>179</v>
      </c>
      <c r="C25" s="54">
        <v>179</v>
      </c>
      <c r="D25" s="54">
        <v>47</v>
      </c>
      <c r="E25" s="54">
        <v>48</v>
      </c>
      <c r="F25" s="54">
        <v>38</v>
      </c>
      <c r="G25" s="21">
        <v>46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20">
        <v>0</v>
      </c>
    </row>
    <row r="26" spans="1:14" ht="12.75" customHeight="1" x14ac:dyDescent="0.2">
      <c r="A26" s="53" t="s">
        <v>37</v>
      </c>
      <c r="B26" s="54">
        <v>292</v>
      </c>
      <c r="C26" s="54">
        <v>292</v>
      </c>
      <c r="D26" s="54">
        <v>74</v>
      </c>
      <c r="E26" s="54">
        <v>71</v>
      </c>
      <c r="F26" s="54">
        <v>74</v>
      </c>
      <c r="G26" s="21">
        <v>73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20">
        <v>0</v>
      </c>
    </row>
    <row r="27" spans="1:14" ht="12.75" customHeight="1" x14ac:dyDescent="0.2">
      <c r="A27" s="53" t="s">
        <v>38</v>
      </c>
      <c r="B27" s="54">
        <v>299</v>
      </c>
      <c r="C27" s="54">
        <v>299</v>
      </c>
      <c r="D27" s="54">
        <v>88</v>
      </c>
      <c r="E27" s="54">
        <v>76</v>
      </c>
      <c r="F27" s="54">
        <v>70</v>
      </c>
      <c r="G27" s="21">
        <v>65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20">
        <v>0</v>
      </c>
    </row>
    <row r="28" spans="1:14" ht="12.75" customHeight="1" x14ac:dyDescent="0.2">
      <c r="A28" s="53" t="s">
        <v>39</v>
      </c>
      <c r="B28" s="54">
        <v>833</v>
      </c>
      <c r="C28" s="54">
        <v>833</v>
      </c>
      <c r="D28" s="54">
        <v>223</v>
      </c>
      <c r="E28" s="54">
        <v>208</v>
      </c>
      <c r="F28" s="54">
        <v>192</v>
      </c>
      <c r="G28" s="21">
        <v>210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20">
        <v>0</v>
      </c>
    </row>
    <row r="29" spans="1:14" ht="12.75" customHeight="1" x14ac:dyDescent="0.2">
      <c r="A29" s="53" t="s">
        <v>40</v>
      </c>
      <c r="B29" s="54">
        <v>411</v>
      </c>
      <c r="C29" s="54">
        <v>411</v>
      </c>
      <c r="D29" s="54">
        <v>124</v>
      </c>
      <c r="E29" s="54">
        <v>99</v>
      </c>
      <c r="F29" s="54">
        <v>105</v>
      </c>
      <c r="G29" s="21">
        <v>83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20">
        <v>0</v>
      </c>
    </row>
    <row r="30" spans="1:14" ht="12.75" customHeight="1" x14ac:dyDescent="0.2">
      <c r="A30" s="53" t="s">
        <v>41</v>
      </c>
      <c r="B30" s="54">
        <v>560</v>
      </c>
      <c r="C30" s="54">
        <v>560</v>
      </c>
      <c r="D30" s="54">
        <v>161</v>
      </c>
      <c r="E30" s="54">
        <v>145</v>
      </c>
      <c r="F30" s="54">
        <v>120</v>
      </c>
      <c r="G30" s="21">
        <v>134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20">
        <v>0</v>
      </c>
    </row>
    <row r="31" spans="1:14" ht="12.75" customHeight="1" x14ac:dyDescent="0.2">
      <c r="A31" s="53" t="s">
        <v>42</v>
      </c>
      <c r="B31" s="54">
        <v>1368</v>
      </c>
      <c r="C31" s="54">
        <v>1219</v>
      </c>
      <c r="D31" s="54">
        <v>310</v>
      </c>
      <c r="E31" s="54">
        <v>313</v>
      </c>
      <c r="F31" s="54">
        <v>276</v>
      </c>
      <c r="G31" s="21">
        <v>320</v>
      </c>
      <c r="H31" s="54">
        <v>149</v>
      </c>
      <c r="I31" s="54">
        <v>23</v>
      </c>
      <c r="J31" s="54">
        <v>25</v>
      </c>
      <c r="K31" s="54">
        <v>26</v>
      </c>
      <c r="L31" s="54">
        <v>28</v>
      </c>
      <c r="M31" s="54">
        <v>26</v>
      </c>
      <c r="N31" s="54">
        <v>21</v>
      </c>
    </row>
    <row r="32" spans="1:14" ht="12.75" customHeight="1" x14ac:dyDescent="0.2">
      <c r="A32" s="53" t="s">
        <v>43</v>
      </c>
      <c r="B32" s="54">
        <v>445</v>
      </c>
      <c r="C32" s="54">
        <v>291</v>
      </c>
      <c r="D32" s="54">
        <v>81</v>
      </c>
      <c r="E32" s="54">
        <v>73</v>
      </c>
      <c r="F32" s="54">
        <v>71</v>
      </c>
      <c r="G32" s="21">
        <v>66</v>
      </c>
      <c r="H32" s="54">
        <v>154</v>
      </c>
      <c r="I32" s="54">
        <v>27</v>
      </c>
      <c r="J32" s="54">
        <v>27</v>
      </c>
      <c r="K32" s="54">
        <v>26</v>
      </c>
      <c r="L32" s="54">
        <v>27</v>
      </c>
      <c r="M32" s="54">
        <v>26</v>
      </c>
      <c r="N32" s="20">
        <v>21</v>
      </c>
    </row>
    <row r="33" spans="1:14" ht="12.75" customHeight="1" x14ac:dyDescent="0.2">
      <c r="A33" s="53" t="s">
        <v>44</v>
      </c>
      <c r="B33" s="54">
        <v>1163</v>
      </c>
      <c r="C33" s="54">
        <v>1163</v>
      </c>
      <c r="D33" s="54">
        <v>294</v>
      </c>
      <c r="E33" s="54">
        <v>299</v>
      </c>
      <c r="F33" s="54">
        <v>285</v>
      </c>
      <c r="G33" s="21">
        <v>285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20">
        <v>0</v>
      </c>
    </row>
    <row r="34" spans="1:14" ht="12.75" customHeight="1" x14ac:dyDescent="0.2">
      <c r="A34" s="53" t="s">
        <v>45</v>
      </c>
      <c r="B34" s="54">
        <v>1690</v>
      </c>
      <c r="C34" s="54">
        <v>1435</v>
      </c>
      <c r="D34" s="54">
        <v>368</v>
      </c>
      <c r="E34" s="54">
        <v>362</v>
      </c>
      <c r="F34" s="54">
        <v>357</v>
      </c>
      <c r="G34" s="21">
        <v>348</v>
      </c>
      <c r="H34" s="54">
        <v>255</v>
      </c>
      <c r="I34" s="54">
        <v>38</v>
      </c>
      <c r="J34" s="54">
        <v>35</v>
      </c>
      <c r="K34" s="54">
        <v>47</v>
      </c>
      <c r="L34" s="54">
        <v>41</v>
      </c>
      <c r="M34" s="54">
        <v>50</v>
      </c>
      <c r="N34" s="20">
        <v>44</v>
      </c>
    </row>
    <row r="35" spans="1:14" s="76" customFormat="1" ht="17.100000000000001" customHeight="1" x14ac:dyDescent="0.2">
      <c r="A35" s="73" t="s">
        <v>46</v>
      </c>
      <c r="B35" s="75">
        <f>SUM(B17:B34)</f>
        <v>13783</v>
      </c>
      <c r="C35" s="75">
        <f t="shared" ref="C35:L35" si="1">SUM(C17:C34)</f>
        <v>12991</v>
      </c>
      <c r="D35" s="75">
        <f t="shared" si="1"/>
        <v>3421</v>
      </c>
      <c r="E35" s="75">
        <f t="shared" si="1"/>
        <v>3273</v>
      </c>
      <c r="F35" s="75">
        <f t="shared" si="1"/>
        <v>3164</v>
      </c>
      <c r="G35" s="75">
        <f t="shared" si="1"/>
        <v>3133</v>
      </c>
      <c r="H35" s="75">
        <f t="shared" si="1"/>
        <v>792</v>
      </c>
      <c r="I35" s="75">
        <f t="shared" si="1"/>
        <v>121</v>
      </c>
      <c r="J35" s="75">
        <f t="shared" si="1"/>
        <v>125</v>
      </c>
      <c r="K35" s="75">
        <f t="shared" si="1"/>
        <v>136</v>
      </c>
      <c r="L35" s="75">
        <f t="shared" si="1"/>
        <v>159</v>
      </c>
      <c r="M35" s="75">
        <f>SUM(M17:M34)</f>
        <v>142</v>
      </c>
    </row>
    <row r="36" spans="1:14" s="58" customFormat="1" ht="17.100000000000001" customHeight="1" x14ac:dyDescent="0.2">
      <c r="A36" s="73" t="s">
        <v>47</v>
      </c>
      <c r="B36" s="75">
        <f t="shared" ref="B36:M36" si="2">+B16+B35</f>
        <v>18742</v>
      </c>
      <c r="C36" s="75">
        <f t="shared" si="2"/>
        <v>17396</v>
      </c>
      <c r="D36" s="75">
        <f t="shared" si="2"/>
        <v>4626</v>
      </c>
      <c r="E36" s="75">
        <f t="shared" si="2"/>
        <v>4402</v>
      </c>
      <c r="F36" s="75">
        <f t="shared" si="2"/>
        <v>4207</v>
      </c>
      <c r="G36" s="75">
        <f t="shared" si="2"/>
        <v>4161</v>
      </c>
      <c r="H36" s="75">
        <f>+H16+H35</f>
        <v>1346</v>
      </c>
      <c r="I36" s="75">
        <f t="shared" si="2"/>
        <v>187</v>
      </c>
      <c r="J36" s="75">
        <f t="shared" si="2"/>
        <v>200</v>
      </c>
      <c r="K36" s="75">
        <f t="shared" si="2"/>
        <v>220</v>
      </c>
      <c r="L36" s="75">
        <f t="shared" si="2"/>
        <v>267</v>
      </c>
      <c r="M36" s="75">
        <f t="shared" si="2"/>
        <v>259</v>
      </c>
    </row>
    <row r="37" spans="1:14" s="66" customFormat="1" ht="12.75" customHeight="1" x14ac:dyDescent="0.25">
      <c r="A37" s="64" t="s">
        <v>75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4" ht="12.75" customHeight="1" x14ac:dyDescent="0.2">
      <c r="A38" s="59" t="s">
        <v>96</v>
      </c>
      <c r="B38" s="58"/>
      <c r="C38" s="58"/>
      <c r="D38" s="58"/>
    </row>
    <row r="39" spans="1:14" ht="6" customHeight="1" x14ac:dyDescent="0.2">
      <c r="A39" s="58"/>
      <c r="B39" s="58"/>
      <c r="C39" s="58"/>
      <c r="D39" s="58"/>
    </row>
    <row r="40" spans="1:14" ht="12.75" customHeight="1" x14ac:dyDescent="0.2">
      <c r="A40" s="60" t="s">
        <v>78</v>
      </c>
      <c r="B40" s="58"/>
      <c r="C40" s="58"/>
      <c r="D40" s="58"/>
    </row>
    <row r="62" spans="1:1" ht="10.199999999999999" x14ac:dyDescent="0.2">
      <c r="A62" s="45"/>
    </row>
    <row r="63" spans="1:1" ht="10.199999999999999" x14ac:dyDescent="0.2"/>
  </sheetData>
  <mergeCells count="6">
    <mergeCell ref="A5:A9"/>
    <mergeCell ref="B5:B9"/>
    <mergeCell ref="C6:C9"/>
    <mergeCell ref="D6:G8"/>
    <mergeCell ref="H6:H9"/>
    <mergeCell ref="I6:M8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42"/>
  <sheetViews>
    <sheetView workbookViewId="0">
      <selection activeCell="A4" sqref="A4"/>
    </sheetView>
  </sheetViews>
  <sheetFormatPr baseColWidth="10" defaultColWidth="8.42578125" defaultRowHeight="12.75" customHeight="1" x14ac:dyDescent="0.2"/>
  <cols>
    <col min="1" max="1" width="22" style="20" customWidth="1"/>
    <col min="2" max="3" width="8.28515625" style="20" customWidth="1"/>
    <col min="4" max="7" width="7.7109375" style="20" customWidth="1"/>
    <col min="8" max="8" width="8.28515625" style="20" customWidth="1"/>
    <col min="9" max="13" width="7.7109375" style="20" customWidth="1"/>
    <col min="14" max="16384" width="8.42578125" style="20"/>
  </cols>
  <sheetData>
    <row r="1" spans="1:13" ht="12.75" customHeight="1" x14ac:dyDescent="0.25">
      <c r="A1" s="1" t="s">
        <v>80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3" ht="26.7" customHeight="1" x14ac:dyDescent="0.25">
      <c r="A3" s="68" t="s">
        <v>109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12.75" customHeight="1" thickBot="1" x14ac:dyDescent="0.25">
      <c r="A5" s="80" t="s">
        <v>8</v>
      </c>
      <c r="B5" s="80" t="s">
        <v>82</v>
      </c>
      <c r="C5" s="47" t="s">
        <v>4</v>
      </c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3" ht="12.75" customHeight="1" thickBot="1" x14ac:dyDescent="0.25">
      <c r="A6" s="77"/>
      <c r="B6" s="77"/>
      <c r="C6" s="82" t="s">
        <v>85</v>
      </c>
      <c r="D6" s="77" t="s">
        <v>77</v>
      </c>
      <c r="E6" s="78"/>
      <c r="F6" s="78"/>
      <c r="G6" s="78"/>
      <c r="H6" s="82" t="s">
        <v>88</v>
      </c>
      <c r="I6" s="77" t="s">
        <v>77</v>
      </c>
      <c r="J6" s="78"/>
      <c r="K6" s="78"/>
      <c r="L6" s="78"/>
      <c r="M6" s="79"/>
    </row>
    <row r="7" spans="1:13" ht="12.75" customHeight="1" thickBot="1" x14ac:dyDescent="0.25">
      <c r="A7" s="77"/>
      <c r="B7" s="77"/>
      <c r="C7" s="77"/>
      <c r="D7" s="78"/>
      <c r="E7" s="78"/>
      <c r="F7" s="78"/>
      <c r="G7" s="78"/>
      <c r="H7" s="77"/>
      <c r="I7" s="78"/>
      <c r="J7" s="78"/>
      <c r="K7" s="78"/>
      <c r="L7" s="78"/>
      <c r="M7" s="79"/>
    </row>
    <row r="8" spans="1:13" ht="12.75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3" ht="12.75" customHeight="1" thickBot="1" x14ac:dyDescent="0.25">
      <c r="A9" s="77"/>
      <c r="B9" s="77"/>
      <c r="C9" s="77"/>
      <c r="D9" s="49" t="s">
        <v>13</v>
      </c>
      <c r="E9" s="49" t="s">
        <v>14</v>
      </c>
      <c r="F9" s="49" t="s">
        <v>15</v>
      </c>
      <c r="G9" s="50" t="s">
        <v>16</v>
      </c>
      <c r="H9" s="77"/>
      <c r="I9" s="49" t="s">
        <v>17</v>
      </c>
      <c r="J9" s="49" t="s">
        <v>18</v>
      </c>
      <c r="K9" s="49" t="s">
        <v>19</v>
      </c>
      <c r="L9" s="49" t="s">
        <v>20</v>
      </c>
      <c r="M9" s="51" t="s">
        <v>21</v>
      </c>
    </row>
    <row r="10" spans="1:13" ht="12.75" customHeight="1" x14ac:dyDescent="0.2">
      <c r="A10" s="5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3" ht="12.75" customHeight="1" x14ac:dyDescent="0.2">
      <c r="A11" s="53" t="s">
        <v>22</v>
      </c>
      <c r="B11" s="54">
        <f>C11+H11</f>
        <v>280</v>
      </c>
      <c r="C11" s="54">
        <f>SUM(D11:G11)</f>
        <v>280</v>
      </c>
      <c r="D11" s="54">
        <v>76</v>
      </c>
      <c r="E11" s="54">
        <v>72</v>
      </c>
      <c r="F11" s="54">
        <v>70</v>
      </c>
      <c r="G11" s="54">
        <v>62</v>
      </c>
      <c r="H11" s="20">
        <f>SUM(H6:H10)</f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</row>
    <row r="12" spans="1:13" ht="12.75" customHeight="1" x14ac:dyDescent="0.2">
      <c r="A12" s="53" t="s">
        <v>23</v>
      </c>
      <c r="B12" s="54">
        <f>C12+H12</f>
        <v>1167</v>
      </c>
      <c r="C12" s="54">
        <f>SUM(D12:G12)</f>
        <v>963</v>
      </c>
      <c r="D12" s="54">
        <v>218</v>
      </c>
      <c r="E12" s="54">
        <v>261</v>
      </c>
      <c r="F12" s="54">
        <v>273</v>
      </c>
      <c r="G12" s="54">
        <v>211</v>
      </c>
      <c r="H12" s="54">
        <f>I12+J12+K12+L12+M12</f>
        <v>204</v>
      </c>
      <c r="I12" s="20">
        <v>34</v>
      </c>
      <c r="J12" s="20">
        <v>44</v>
      </c>
      <c r="K12" s="20">
        <v>39</v>
      </c>
      <c r="L12" s="20">
        <v>47</v>
      </c>
      <c r="M12" s="20">
        <v>40</v>
      </c>
    </row>
    <row r="13" spans="1:13" ht="12.75" customHeight="1" x14ac:dyDescent="0.2">
      <c r="A13" s="53" t="s">
        <v>24</v>
      </c>
      <c r="B13" s="54">
        <f>C13+H13</f>
        <v>2077</v>
      </c>
      <c r="C13" s="54">
        <f>SUM(D13:G13)</f>
        <v>1465</v>
      </c>
      <c r="D13" s="54">
        <v>338</v>
      </c>
      <c r="E13" s="54">
        <v>365</v>
      </c>
      <c r="F13" s="54">
        <v>387</v>
      </c>
      <c r="G13" s="54">
        <v>375</v>
      </c>
      <c r="H13" s="54">
        <f>I13+J13+K13+L13+M13</f>
        <v>612</v>
      </c>
      <c r="I13" s="20">
        <v>122</v>
      </c>
      <c r="J13" s="20">
        <v>116</v>
      </c>
      <c r="K13" s="20">
        <v>117</v>
      </c>
      <c r="L13" s="20">
        <v>113</v>
      </c>
      <c r="M13" s="20">
        <f>122+22</f>
        <v>144</v>
      </c>
    </row>
    <row r="14" spans="1:13" ht="12.75" customHeight="1" x14ac:dyDescent="0.2">
      <c r="A14" s="53" t="s">
        <v>25</v>
      </c>
      <c r="B14" s="54">
        <f>C14+H14</f>
        <v>1480</v>
      </c>
      <c r="C14" s="54">
        <f>SUM(D14:G14)</f>
        <v>939</v>
      </c>
      <c r="D14" s="54">
        <f>181+34</f>
        <v>215</v>
      </c>
      <c r="E14" s="54">
        <f>220+38</f>
        <v>258</v>
      </c>
      <c r="F14" s="54">
        <f>178+42</f>
        <v>220</v>
      </c>
      <c r="G14" s="54">
        <f>206+40</f>
        <v>246</v>
      </c>
      <c r="H14" s="54">
        <f>I14+J14+K14+L14+M14</f>
        <v>541</v>
      </c>
      <c r="I14" s="21">
        <v>97</v>
      </c>
      <c r="J14" s="21">
        <v>109</v>
      </c>
      <c r="K14" s="21">
        <v>102</v>
      </c>
      <c r="L14" s="21">
        <v>104</v>
      </c>
      <c r="M14" s="20">
        <f>105+24</f>
        <v>129</v>
      </c>
    </row>
    <row r="15" spans="1:13" ht="12.75" customHeight="1" x14ac:dyDescent="0.2">
      <c r="A15" s="53" t="s">
        <v>26</v>
      </c>
      <c r="B15" s="54">
        <f>C15+H15</f>
        <v>1423</v>
      </c>
      <c r="C15" s="54">
        <f>SUM(D15:G15)</f>
        <v>874</v>
      </c>
      <c r="D15" s="54">
        <v>207</v>
      </c>
      <c r="E15" s="54">
        <v>234</v>
      </c>
      <c r="F15" s="54">
        <v>231</v>
      </c>
      <c r="G15" s="54">
        <v>202</v>
      </c>
      <c r="H15" s="54">
        <f>I15+J15+K15+L15+M15</f>
        <v>549</v>
      </c>
      <c r="I15" s="20">
        <v>94</v>
      </c>
      <c r="J15" s="20">
        <v>92</v>
      </c>
      <c r="K15" s="20">
        <v>84</v>
      </c>
      <c r="L15" s="20">
        <v>113</v>
      </c>
      <c r="M15" s="20">
        <f>114+24+28</f>
        <v>166</v>
      </c>
    </row>
    <row r="16" spans="1:13" ht="12.75" customHeight="1" x14ac:dyDescent="0.2">
      <c r="A16" s="55" t="s">
        <v>27</v>
      </c>
      <c r="B16" s="54">
        <f t="shared" ref="B16:M16" si="0">SUM(B11:B15)</f>
        <v>6427</v>
      </c>
      <c r="C16" s="54">
        <f t="shared" si="0"/>
        <v>4521</v>
      </c>
      <c r="D16" s="20">
        <f t="shared" si="0"/>
        <v>1054</v>
      </c>
      <c r="E16" s="20">
        <f t="shared" si="0"/>
        <v>1190</v>
      </c>
      <c r="F16" s="20">
        <f t="shared" si="0"/>
        <v>1181</v>
      </c>
      <c r="G16" s="20">
        <f t="shared" si="0"/>
        <v>1096</v>
      </c>
      <c r="H16" s="54">
        <f t="shared" si="0"/>
        <v>1906</v>
      </c>
      <c r="I16" s="20">
        <f t="shared" si="0"/>
        <v>347</v>
      </c>
      <c r="J16" s="20">
        <f t="shared" si="0"/>
        <v>361</v>
      </c>
      <c r="K16" s="20">
        <f t="shared" si="0"/>
        <v>342</v>
      </c>
      <c r="L16" s="20">
        <f t="shared" si="0"/>
        <v>377</v>
      </c>
      <c r="M16" s="20">
        <f t="shared" si="0"/>
        <v>479</v>
      </c>
    </row>
    <row r="17" spans="1:13" ht="6" customHeight="1" x14ac:dyDescent="0.2">
      <c r="A17" s="53"/>
      <c r="B17" s="54"/>
      <c r="C17" s="54"/>
      <c r="H17" s="54"/>
    </row>
    <row r="18" spans="1:13" ht="12.75" customHeight="1" x14ac:dyDescent="0.2">
      <c r="A18" s="53" t="s">
        <v>28</v>
      </c>
      <c r="B18" s="54">
        <f t="shared" ref="B18:B35" si="1">C18+H18</f>
        <v>3213</v>
      </c>
      <c r="C18" s="54">
        <f t="shared" ref="C18:C35" si="2">SUM(D18:G18)</f>
        <v>2392</v>
      </c>
      <c r="D18" s="54">
        <f>607+41-34+6</f>
        <v>620</v>
      </c>
      <c r="E18" s="54">
        <f>632+23-63</f>
        <v>592</v>
      </c>
      <c r="F18" s="54">
        <f>652+23-54</f>
        <v>621</v>
      </c>
      <c r="G18" s="54">
        <f>568+37-46</f>
        <v>559</v>
      </c>
      <c r="H18" s="54">
        <f>I18+J18+K18+L18+M18</f>
        <v>821</v>
      </c>
      <c r="I18" s="54">
        <f>176-39</f>
        <v>137</v>
      </c>
      <c r="J18" s="54">
        <f>193-33</f>
        <v>160</v>
      </c>
      <c r="K18" s="54">
        <f>206-33</f>
        <v>173</v>
      </c>
      <c r="L18" s="54">
        <f>192-47</f>
        <v>145</v>
      </c>
      <c r="M18" s="54">
        <f>201+43-38</f>
        <v>206</v>
      </c>
    </row>
    <row r="19" spans="1:13" ht="12.75" customHeight="1" x14ac:dyDescent="0.2">
      <c r="A19" s="53" t="s">
        <v>29</v>
      </c>
      <c r="B19" s="54">
        <f t="shared" si="1"/>
        <v>250</v>
      </c>
      <c r="C19" s="54">
        <f t="shared" si="2"/>
        <v>250</v>
      </c>
      <c r="D19" s="54">
        <v>58</v>
      </c>
      <c r="E19" s="54">
        <v>49</v>
      </c>
      <c r="F19" s="54">
        <v>70</v>
      </c>
      <c r="G19" s="54">
        <v>73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</row>
    <row r="20" spans="1:13" ht="12.75" customHeight="1" x14ac:dyDescent="0.2">
      <c r="A20" s="53" t="s">
        <v>30</v>
      </c>
      <c r="B20" s="54">
        <f t="shared" si="1"/>
        <v>392</v>
      </c>
      <c r="C20" s="54">
        <f t="shared" si="2"/>
        <v>392</v>
      </c>
      <c r="D20" s="54">
        <v>103</v>
      </c>
      <c r="E20" s="54">
        <v>98</v>
      </c>
      <c r="F20" s="54">
        <v>103</v>
      </c>
      <c r="G20" s="54">
        <v>88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</row>
    <row r="21" spans="1:13" ht="12.75" customHeight="1" x14ac:dyDescent="0.2">
      <c r="A21" s="53" t="s">
        <v>31</v>
      </c>
      <c r="B21" s="54">
        <f t="shared" si="1"/>
        <v>728</v>
      </c>
      <c r="C21" s="54">
        <f t="shared" si="2"/>
        <v>632</v>
      </c>
      <c r="D21" s="54">
        <v>158</v>
      </c>
      <c r="E21" s="54">
        <v>168</v>
      </c>
      <c r="F21" s="54">
        <v>161</v>
      </c>
      <c r="G21" s="54">
        <v>145</v>
      </c>
      <c r="H21" s="54">
        <f t="shared" ref="H21:H35" si="3">I21+J21+K21+L21+M21</f>
        <v>96</v>
      </c>
      <c r="I21" s="54">
        <v>15</v>
      </c>
      <c r="J21" s="54">
        <v>18</v>
      </c>
      <c r="K21" s="54">
        <v>26</v>
      </c>
      <c r="L21" s="54">
        <v>17</v>
      </c>
      <c r="M21" s="54">
        <v>20</v>
      </c>
    </row>
    <row r="22" spans="1:13" ht="12.75" customHeight="1" x14ac:dyDescent="0.2">
      <c r="A22" s="53" t="s">
        <v>32</v>
      </c>
      <c r="B22" s="54">
        <f t="shared" si="1"/>
        <v>1249</v>
      </c>
      <c r="C22" s="54">
        <f t="shared" si="2"/>
        <v>862</v>
      </c>
      <c r="D22" s="54">
        <v>214</v>
      </c>
      <c r="E22" s="54">
        <v>199</v>
      </c>
      <c r="F22" s="54">
        <v>241</v>
      </c>
      <c r="G22" s="54">
        <v>208</v>
      </c>
      <c r="H22" s="54">
        <f t="shared" si="3"/>
        <v>387</v>
      </c>
      <c r="I22" s="54">
        <v>61</v>
      </c>
      <c r="J22" s="54">
        <v>63</v>
      </c>
      <c r="K22" s="54">
        <v>74</v>
      </c>
      <c r="L22" s="54">
        <v>87</v>
      </c>
      <c r="M22" s="54">
        <f>69+21+12</f>
        <v>102</v>
      </c>
    </row>
    <row r="23" spans="1:13" ht="12.75" customHeight="1" x14ac:dyDescent="0.2">
      <c r="A23" s="53" t="s">
        <v>33</v>
      </c>
      <c r="B23" s="54">
        <f t="shared" si="1"/>
        <v>548</v>
      </c>
      <c r="C23" s="54">
        <f t="shared" si="2"/>
        <v>330</v>
      </c>
      <c r="D23" s="54">
        <f>34+39</f>
        <v>73</v>
      </c>
      <c r="E23" s="54">
        <f>46+41</f>
        <v>87</v>
      </c>
      <c r="F23" s="54">
        <f>57+35</f>
        <v>92</v>
      </c>
      <c r="G23" s="54">
        <f>51+27</f>
        <v>78</v>
      </c>
      <c r="H23" s="54">
        <f t="shared" si="3"/>
        <v>218</v>
      </c>
      <c r="I23" s="54">
        <v>41</v>
      </c>
      <c r="J23" s="54">
        <v>38</v>
      </c>
      <c r="K23" s="54">
        <v>38</v>
      </c>
      <c r="L23" s="54">
        <v>34</v>
      </c>
      <c r="M23" s="54">
        <f>40+27</f>
        <v>67</v>
      </c>
    </row>
    <row r="24" spans="1:13" ht="12.75" customHeight="1" x14ac:dyDescent="0.2">
      <c r="A24" s="53" t="s">
        <v>34</v>
      </c>
      <c r="B24" s="54">
        <f t="shared" si="1"/>
        <v>990</v>
      </c>
      <c r="C24" s="54">
        <f t="shared" si="2"/>
        <v>731</v>
      </c>
      <c r="D24" s="54">
        <v>186</v>
      </c>
      <c r="E24" s="54">
        <v>191</v>
      </c>
      <c r="F24" s="54">
        <v>167</v>
      </c>
      <c r="G24" s="54">
        <v>187</v>
      </c>
      <c r="H24" s="54">
        <f t="shared" si="3"/>
        <v>259</v>
      </c>
      <c r="I24" s="54">
        <v>36</v>
      </c>
      <c r="J24" s="54">
        <v>39</v>
      </c>
      <c r="K24" s="54">
        <v>55</v>
      </c>
      <c r="L24" s="54">
        <v>63</v>
      </c>
      <c r="M24" s="54">
        <v>66</v>
      </c>
    </row>
    <row r="25" spans="1:13" ht="12.75" customHeight="1" x14ac:dyDescent="0.2">
      <c r="A25" s="53" t="s">
        <v>35</v>
      </c>
      <c r="B25" s="54">
        <f t="shared" si="1"/>
        <v>1501</v>
      </c>
      <c r="C25" s="54">
        <f t="shared" si="2"/>
        <v>891</v>
      </c>
      <c r="D25" s="54">
        <f>112+149-41</f>
        <v>220</v>
      </c>
      <c r="E25" s="54">
        <f>118+149-23</f>
        <v>244</v>
      </c>
      <c r="F25" s="54">
        <f>115+143-23</f>
        <v>235</v>
      </c>
      <c r="G25" s="54">
        <f>91+138-37</f>
        <v>192</v>
      </c>
      <c r="H25" s="54">
        <f t="shared" si="3"/>
        <v>610</v>
      </c>
      <c r="I25" s="54">
        <f>49+53</f>
        <v>102</v>
      </c>
      <c r="J25" s="54">
        <f>52+69</f>
        <v>121</v>
      </c>
      <c r="K25" s="54">
        <f>54+50+8</f>
        <v>112</v>
      </c>
      <c r="L25" s="54">
        <f>62+76</f>
        <v>138</v>
      </c>
      <c r="M25" s="54">
        <f>57+13+67</f>
        <v>137</v>
      </c>
    </row>
    <row r="26" spans="1:13" ht="12.75" customHeight="1" x14ac:dyDescent="0.2">
      <c r="A26" s="53" t="s">
        <v>36</v>
      </c>
      <c r="B26" s="54">
        <f t="shared" si="1"/>
        <v>395</v>
      </c>
      <c r="C26" s="54">
        <f t="shared" si="2"/>
        <v>197</v>
      </c>
      <c r="D26" s="54">
        <v>34</v>
      </c>
      <c r="E26" s="54">
        <v>63</v>
      </c>
      <c r="F26" s="54">
        <v>54</v>
      </c>
      <c r="G26" s="54">
        <v>46</v>
      </c>
      <c r="H26" s="54">
        <f t="shared" si="3"/>
        <v>198</v>
      </c>
      <c r="I26" s="54">
        <v>39</v>
      </c>
      <c r="J26" s="54">
        <v>36</v>
      </c>
      <c r="K26" s="54">
        <v>38</v>
      </c>
      <c r="L26" s="54">
        <v>47</v>
      </c>
      <c r="M26" s="54">
        <v>38</v>
      </c>
    </row>
    <row r="27" spans="1:13" ht="12.75" customHeight="1" x14ac:dyDescent="0.2">
      <c r="A27" s="53" t="s">
        <v>37</v>
      </c>
      <c r="B27" s="54">
        <f t="shared" si="1"/>
        <v>315</v>
      </c>
      <c r="C27" s="54">
        <f t="shared" si="2"/>
        <v>315</v>
      </c>
      <c r="D27" s="54">
        <f>45+32</f>
        <v>77</v>
      </c>
      <c r="E27" s="54">
        <f>40+35</f>
        <v>75</v>
      </c>
      <c r="F27" s="54">
        <f>44+39</f>
        <v>83</v>
      </c>
      <c r="G27" s="54">
        <f>47+33</f>
        <v>80</v>
      </c>
      <c r="H27" s="54">
        <f t="shared" si="3"/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</row>
    <row r="28" spans="1:13" ht="12.75" customHeight="1" x14ac:dyDescent="0.2">
      <c r="A28" s="53" t="s">
        <v>38</v>
      </c>
      <c r="B28" s="54">
        <f t="shared" si="1"/>
        <v>505</v>
      </c>
      <c r="C28" s="54">
        <f t="shared" si="2"/>
        <v>369</v>
      </c>
      <c r="D28" s="54">
        <v>96</v>
      </c>
      <c r="E28" s="54">
        <v>95</v>
      </c>
      <c r="F28" s="54">
        <v>104</v>
      </c>
      <c r="G28" s="54">
        <v>74</v>
      </c>
      <c r="H28" s="54">
        <f t="shared" si="3"/>
        <v>136</v>
      </c>
      <c r="I28" s="54">
        <v>20</v>
      </c>
      <c r="J28" s="54">
        <v>37</v>
      </c>
      <c r="K28" s="54">
        <v>34</v>
      </c>
      <c r="L28" s="54">
        <v>24</v>
      </c>
      <c r="M28" s="54">
        <v>21</v>
      </c>
    </row>
    <row r="29" spans="1:13" ht="12.75" customHeight="1" x14ac:dyDescent="0.2">
      <c r="A29" s="53" t="s">
        <v>39</v>
      </c>
      <c r="B29" s="54">
        <f t="shared" si="1"/>
        <v>1100</v>
      </c>
      <c r="C29" s="54">
        <f t="shared" si="2"/>
        <v>936</v>
      </c>
      <c r="D29" s="54">
        <v>244</v>
      </c>
      <c r="E29" s="54">
        <v>220</v>
      </c>
      <c r="F29" s="54">
        <v>240</v>
      </c>
      <c r="G29" s="54">
        <v>232</v>
      </c>
      <c r="H29" s="54">
        <f t="shared" si="3"/>
        <v>164</v>
      </c>
      <c r="I29" s="54">
        <v>37</v>
      </c>
      <c r="J29" s="54">
        <v>38</v>
      </c>
      <c r="K29" s="54">
        <v>28</v>
      </c>
      <c r="L29" s="54">
        <v>27</v>
      </c>
      <c r="M29" s="54">
        <v>34</v>
      </c>
    </row>
    <row r="30" spans="1:13" ht="12.75" customHeight="1" x14ac:dyDescent="0.2">
      <c r="A30" s="53" t="s">
        <v>40</v>
      </c>
      <c r="B30" s="54">
        <f t="shared" si="1"/>
        <v>671</v>
      </c>
      <c r="C30" s="54">
        <f t="shared" si="2"/>
        <v>485</v>
      </c>
      <c r="D30" s="54">
        <v>112</v>
      </c>
      <c r="E30" s="54">
        <v>106</v>
      </c>
      <c r="F30" s="54">
        <v>126</v>
      </c>
      <c r="G30" s="54">
        <v>141</v>
      </c>
      <c r="H30" s="54">
        <f t="shared" si="3"/>
        <v>186</v>
      </c>
      <c r="I30" s="54">
        <v>39</v>
      </c>
      <c r="J30" s="54">
        <v>35</v>
      </c>
      <c r="K30" s="54">
        <v>34</v>
      </c>
      <c r="L30" s="54">
        <v>39</v>
      </c>
      <c r="M30" s="54">
        <v>39</v>
      </c>
    </row>
    <row r="31" spans="1:13" ht="12.75" customHeight="1" x14ac:dyDescent="0.2">
      <c r="A31" s="53" t="s">
        <v>41</v>
      </c>
      <c r="B31" s="54">
        <f t="shared" si="1"/>
        <v>794</v>
      </c>
      <c r="C31" s="54">
        <f t="shared" si="2"/>
        <v>588</v>
      </c>
      <c r="D31" s="54">
        <f>69+61</f>
        <v>130</v>
      </c>
      <c r="E31" s="54">
        <f>69+79</f>
        <v>148</v>
      </c>
      <c r="F31" s="54">
        <f>87+80</f>
        <v>167</v>
      </c>
      <c r="G31" s="54">
        <f>74+69</f>
        <v>143</v>
      </c>
      <c r="H31" s="54">
        <f t="shared" si="3"/>
        <v>206</v>
      </c>
      <c r="I31" s="54">
        <v>43</v>
      </c>
      <c r="J31" s="54">
        <v>35</v>
      </c>
      <c r="K31" s="54">
        <v>44</v>
      </c>
      <c r="L31" s="54">
        <v>39</v>
      </c>
      <c r="M31" s="54">
        <v>45</v>
      </c>
    </row>
    <row r="32" spans="1:13" ht="12.75" customHeight="1" x14ac:dyDescent="0.2">
      <c r="A32" s="53" t="s">
        <v>42</v>
      </c>
      <c r="B32" s="54">
        <f t="shared" si="1"/>
        <v>1868</v>
      </c>
      <c r="C32" s="54">
        <f t="shared" si="2"/>
        <v>1423</v>
      </c>
      <c r="D32" s="54">
        <f>413-34</f>
        <v>379</v>
      </c>
      <c r="E32" s="54">
        <f>380-38</f>
        <v>342</v>
      </c>
      <c r="F32" s="54">
        <f>394-42</f>
        <v>352</v>
      </c>
      <c r="G32" s="54">
        <f>390-40</f>
        <v>350</v>
      </c>
      <c r="H32" s="54">
        <f t="shared" si="3"/>
        <v>445</v>
      </c>
      <c r="I32" s="54">
        <v>73</v>
      </c>
      <c r="J32" s="54">
        <v>82</v>
      </c>
      <c r="K32" s="54">
        <v>80</v>
      </c>
      <c r="L32" s="54">
        <v>81</v>
      </c>
      <c r="M32" s="54">
        <f>104+25</f>
        <v>129</v>
      </c>
    </row>
    <row r="33" spans="1:13" ht="12.75" customHeight="1" x14ac:dyDescent="0.2">
      <c r="A33" s="53" t="s">
        <v>43</v>
      </c>
      <c r="B33" s="54">
        <f t="shared" si="1"/>
        <v>431</v>
      </c>
      <c r="C33" s="54">
        <f t="shared" si="2"/>
        <v>274</v>
      </c>
      <c r="D33" s="54">
        <v>73</v>
      </c>
      <c r="E33" s="54">
        <v>73</v>
      </c>
      <c r="F33" s="54">
        <v>78</v>
      </c>
      <c r="G33" s="54">
        <v>50</v>
      </c>
      <c r="H33" s="54">
        <f t="shared" si="3"/>
        <v>157</v>
      </c>
      <c r="I33" s="54">
        <v>44</v>
      </c>
      <c r="J33" s="54">
        <v>20</v>
      </c>
      <c r="K33" s="54">
        <v>36</v>
      </c>
      <c r="L33" s="54">
        <v>21</v>
      </c>
      <c r="M33" s="54">
        <v>36</v>
      </c>
    </row>
    <row r="34" spans="1:13" ht="12.75" customHeight="1" x14ac:dyDescent="0.2">
      <c r="A34" s="53" t="s">
        <v>44</v>
      </c>
      <c r="B34" s="54">
        <f t="shared" si="1"/>
        <v>1648</v>
      </c>
      <c r="C34" s="54">
        <f t="shared" si="2"/>
        <v>1247</v>
      </c>
      <c r="D34" s="54">
        <v>300</v>
      </c>
      <c r="E34" s="54">
        <v>313</v>
      </c>
      <c r="F34" s="54">
        <v>311</v>
      </c>
      <c r="G34" s="54">
        <v>323</v>
      </c>
      <c r="H34" s="54">
        <f t="shared" si="3"/>
        <v>401</v>
      </c>
      <c r="I34" s="54">
        <v>59</v>
      </c>
      <c r="J34" s="54">
        <v>76</v>
      </c>
      <c r="K34" s="54">
        <v>75</v>
      </c>
      <c r="L34" s="54">
        <v>96</v>
      </c>
      <c r="M34" s="54">
        <v>95</v>
      </c>
    </row>
    <row r="35" spans="1:13" ht="12.75" customHeight="1" x14ac:dyDescent="0.2">
      <c r="A35" s="53" t="s">
        <v>45</v>
      </c>
      <c r="B35" s="54">
        <f t="shared" si="1"/>
        <v>1880</v>
      </c>
      <c r="C35" s="54">
        <f t="shared" si="2"/>
        <v>1299</v>
      </c>
      <c r="D35" s="54">
        <v>304</v>
      </c>
      <c r="E35" s="54">
        <v>326</v>
      </c>
      <c r="F35" s="54">
        <v>346</v>
      </c>
      <c r="G35" s="54">
        <v>323</v>
      </c>
      <c r="H35" s="54">
        <f t="shared" si="3"/>
        <v>581</v>
      </c>
      <c r="I35" s="54">
        <v>110</v>
      </c>
      <c r="J35" s="54">
        <v>94</v>
      </c>
      <c r="K35" s="54">
        <v>138</v>
      </c>
      <c r="L35" s="54">
        <v>106</v>
      </c>
      <c r="M35" s="54">
        <v>133</v>
      </c>
    </row>
    <row r="36" spans="1:13" ht="12.75" customHeight="1" x14ac:dyDescent="0.2">
      <c r="A36" s="55" t="s">
        <v>46</v>
      </c>
      <c r="B36" s="54">
        <f t="shared" ref="B36:M36" si="4">SUM(B18:B35)</f>
        <v>18478</v>
      </c>
      <c r="C36" s="54">
        <f t="shared" si="4"/>
        <v>13613</v>
      </c>
      <c r="D36" s="20">
        <f t="shared" si="4"/>
        <v>3381</v>
      </c>
      <c r="E36" s="20">
        <f t="shared" si="4"/>
        <v>3389</v>
      </c>
      <c r="F36" s="20">
        <f t="shared" si="4"/>
        <v>3551</v>
      </c>
      <c r="G36" s="20">
        <f t="shared" si="4"/>
        <v>3292</v>
      </c>
      <c r="H36" s="54">
        <f t="shared" si="4"/>
        <v>4865</v>
      </c>
      <c r="I36" s="20">
        <f t="shared" si="4"/>
        <v>856</v>
      </c>
      <c r="J36" s="20">
        <f t="shared" si="4"/>
        <v>892</v>
      </c>
      <c r="K36" s="20">
        <f t="shared" si="4"/>
        <v>985</v>
      </c>
      <c r="L36" s="20">
        <f t="shared" si="4"/>
        <v>964</v>
      </c>
      <c r="M36" s="20">
        <f t="shared" si="4"/>
        <v>1168</v>
      </c>
    </row>
    <row r="37" spans="1:13" ht="6" customHeight="1" x14ac:dyDescent="0.2">
      <c r="A37" s="53"/>
      <c r="B37" s="54"/>
      <c r="C37" s="54"/>
      <c r="H37" s="54"/>
    </row>
    <row r="38" spans="1:13" ht="12.75" customHeight="1" x14ac:dyDescent="0.2">
      <c r="A38" s="55" t="s">
        <v>47</v>
      </c>
      <c r="B38" s="56">
        <f t="shared" ref="B38:M38" si="5">B16+B36</f>
        <v>24905</v>
      </c>
      <c r="C38" s="56">
        <f t="shared" si="5"/>
        <v>18134</v>
      </c>
      <c r="D38" s="4">
        <f t="shared" si="5"/>
        <v>4435</v>
      </c>
      <c r="E38" s="4">
        <f t="shared" si="5"/>
        <v>4579</v>
      </c>
      <c r="F38" s="4">
        <f t="shared" si="5"/>
        <v>4732</v>
      </c>
      <c r="G38" s="4">
        <f t="shared" si="5"/>
        <v>4388</v>
      </c>
      <c r="H38" s="56">
        <f t="shared" si="5"/>
        <v>6771</v>
      </c>
      <c r="I38" s="4">
        <f t="shared" si="5"/>
        <v>1203</v>
      </c>
      <c r="J38" s="4">
        <f t="shared" si="5"/>
        <v>1253</v>
      </c>
      <c r="K38" s="4">
        <f t="shared" si="5"/>
        <v>1327</v>
      </c>
      <c r="L38" s="4">
        <f t="shared" si="5"/>
        <v>1341</v>
      </c>
      <c r="M38" s="4">
        <f t="shared" si="5"/>
        <v>1647</v>
      </c>
    </row>
    <row r="39" spans="1:13" ht="12.75" customHeight="1" x14ac:dyDescent="0.2">
      <c r="A39" s="57" t="str">
        <f>REPT(" ",28)</f>
        <v xml:space="preserve">                            </v>
      </c>
      <c r="B39" s="58"/>
    </row>
    <row r="40" spans="1:13" ht="12.75" customHeight="1" x14ac:dyDescent="0.2">
      <c r="A40" s="59" t="s">
        <v>83</v>
      </c>
      <c r="B40" s="58"/>
      <c r="C40" s="58"/>
      <c r="D40" s="58"/>
    </row>
    <row r="41" spans="1:13" ht="6" customHeight="1" x14ac:dyDescent="0.2">
      <c r="A41" s="58"/>
      <c r="B41" s="58"/>
      <c r="C41" s="58"/>
      <c r="D41" s="58"/>
    </row>
    <row r="42" spans="1:13" ht="12.75" customHeight="1" x14ac:dyDescent="0.2">
      <c r="A42" s="60" t="s">
        <v>78</v>
      </c>
      <c r="B42" s="58"/>
      <c r="C42" s="58"/>
      <c r="D42" s="58"/>
    </row>
  </sheetData>
  <mergeCells count="6">
    <mergeCell ref="I6:M8"/>
    <mergeCell ref="H6:H9"/>
    <mergeCell ref="A5:A9"/>
    <mergeCell ref="B5:B9"/>
    <mergeCell ref="C6:C9"/>
    <mergeCell ref="D6:G8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F2" sqref="F2"/>
    </sheetView>
  </sheetViews>
  <sheetFormatPr baseColWidth="10" defaultColWidth="8.42578125" defaultRowHeight="12.75" customHeight="1" x14ac:dyDescent="0.2"/>
  <cols>
    <col min="1" max="1" width="18.7109375" style="20" customWidth="1"/>
    <col min="2" max="3" width="8.140625" style="20" customWidth="1"/>
    <col min="4" max="7" width="7.7109375" style="20" customWidth="1"/>
    <col min="8" max="8" width="8.140625" style="20" customWidth="1"/>
    <col min="9" max="13" width="7.7109375" style="20" customWidth="1"/>
    <col min="14" max="16384" width="8.42578125" style="20"/>
  </cols>
  <sheetData>
    <row r="1" spans="1:13" ht="12.75" customHeight="1" x14ac:dyDescent="0.25">
      <c r="A1" s="1" t="s">
        <v>52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3" ht="12.75" customHeight="1" x14ac:dyDescent="0.25">
      <c r="A3" s="3" t="s">
        <v>74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2.75" customHeight="1" x14ac:dyDescent="0.25">
      <c r="A4" s="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2.7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2.75" customHeight="1" x14ac:dyDescent="0.2">
      <c r="A6" s="24"/>
      <c r="B6" s="25" t="s">
        <v>3</v>
      </c>
      <c r="C6" s="26" t="s">
        <v>4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2.75" customHeight="1" x14ac:dyDescent="0.2">
      <c r="A7" s="24"/>
      <c r="B7" s="25" t="s">
        <v>5</v>
      </c>
      <c r="C7" s="27" t="s">
        <v>3</v>
      </c>
      <c r="D7" s="22" t="s">
        <v>6</v>
      </c>
      <c r="E7" s="22"/>
      <c r="F7" s="22"/>
      <c r="G7" s="28"/>
      <c r="H7" s="25" t="s">
        <v>7</v>
      </c>
      <c r="I7" s="22" t="s">
        <v>6</v>
      </c>
      <c r="J7" s="22"/>
      <c r="K7" s="22"/>
      <c r="L7" s="22"/>
      <c r="M7" s="22"/>
    </row>
    <row r="8" spans="1:13" ht="12.75" customHeight="1" x14ac:dyDescent="0.2">
      <c r="A8" s="29" t="s">
        <v>8</v>
      </c>
      <c r="B8" s="25" t="s">
        <v>9</v>
      </c>
      <c r="C8" s="27" t="s">
        <v>10</v>
      </c>
      <c r="D8" s="30"/>
      <c r="E8" s="30"/>
      <c r="F8" s="30"/>
      <c r="G8" s="31"/>
      <c r="H8" s="27" t="s">
        <v>10</v>
      </c>
      <c r="I8" s="32"/>
      <c r="J8" s="32"/>
      <c r="K8" s="32"/>
      <c r="L8" s="32"/>
      <c r="M8" s="32"/>
    </row>
    <row r="9" spans="1:13" ht="12.75" customHeight="1" x14ac:dyDescent="0.2">
      <c r="A9" s="28"/>
      <c r="B9" s="27" t="s">
        <v>10</v>
      </c>
      <c r="C9" s="69" t="s">
        <v>86</v>
      </c>
      <c r="D9" s="33" t="s">
        <v>11</v>
      </c>
      <c r="E9" s="33"/>
      <c r="F9" s="33"/>
      <c r="G9" s="34"/>
      <c r="H9" s="69" t="s">
        <v>86</v>
      </c>
      <c r="I9" s="33" t="s">
        <v>11</v>
      </c>
      <c r="J9" s="33"/>
      <c r="K9" s="33"/>
      <c r="L9" s="33"/>
      <c r="M9" s="33"/>
    </row>
    <row r="10" spans="1:13" ht="12.75" customHeight="1" x14ac:dyDescent="0.2">
      <c r="A10" s="35"/>
      <c r="B10" s="36" t="s">
        <v>12</v>
      </c>
      <c r="C10" s="70" t="s">
        <v>87</v>
      </c>
      <c r="D10" s="37" t="s">
        <v>13</v>
      </c>
      <c r="E10" s="37" t="s">
        <v>14</v>
      </c>
      <c r="F10" s="37" t="s">
        <v>15</v>
      </c>
      <c r="G10" s="38" t="s">
        <v>16</v>
      </c>
      <c r="H10" s="70" t="s">
        <v>87</v>
      </c>
      <c r="I10" s="37" t="s">
        <v>17</v>
      </c>
      <c r="J10" s="37" t="s">
        <v>18</v>
      </c>
      <c r="K10" s="37" t="s">
        <v>19</v>
      </c>
      <c r="L10" s="37" t="s">
        <v>20</v>
      </c>
      <c r="M10" s="39" t="s">
        <v>21</v>
      </c>
    </row>
    <row r="11" spans="1:13" ht="12.75" customHeight="1" x14ac:dyDescent="0.2">
      <c r="A11" s="24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2.75" customHeight="1" x14ac:dyDescent="0.2">
      <c r="A12" s="29" t="s">
        <v>22</v>
      </c>
      <c r="B12" s="20">
        <f>C12+H12</f>
        <v>273</v>
      </c>
      <c r="C12" s="20">
        <f>SUM(D12:G12)</f>
        <v>273</v>
      </c>
      <c r="D12" s="20">
        <v>78</v>
      </c>
      <c r="E12" s="20">
        <v>69</v>
      </c>
      <c r="F12" s="20">
        <v>67</v>
      </c>
      <c r="G12" s="20">
        <v>59</v>
      </c>
      <c r="H12" s="20">
        <f>SUM(I12:M12)</f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3" ht="12.75" customHeight="1" x14ac:dyDescent="0.2">
      <c r="A13" s="29" t="s">
        <v>23</v>
      </c>
      <c r="B13" s="20">
        <f>C13+H13</f>
        <v>1189</v>
      </c>
      <c r="C13" s="20">
        <f>SUM(D13:G13)</f>
        <v>971</v>
      </c>
      <c r="D13" s="20">
        <v>241</v>
      </c>
      <c r="E13" s="20">
        <v>278</v>
      </c>
      <c r="F13" s="20">
        <v>225</v>
      </c>
      <c r="G13" s="20">
        <v>227</v>
      </c>
      <c r="H13" s="20">
        <f>SUM(I13:M13)</f>
        <v>218</v>
      </c>
      <c r="I13" s="20">
        <v>45</v>
      </c>
      <c r="J13" s="20">
        <v>42</v>
      </c>
      <c r="K13" s="20">
        <v>47</v>
      </c>
      <c r="L13" s="20">
        <v>34</v>
      </c>
      <c r="M13" s="20">
        <v>50</v>
      </c>
    </row>
    <row r="14" spans="1:13" ht="12.75" customHeight="1" x14ac:dyDescent="0.2">
      <c r="A14" s="29" t="s">
        <v>24</v>
      </c>
      <c r="B14" s="20">
        <f>C14+H14</f>
        <v>2148</v>
      </c>
      <c r="C14" s="20">
        <f>SUM(D14:G14)</f>
        <v>1503</v>
      </c>
      <c r="D14" s="20">
        <v>360</v>
      </c>
      <c r="E14" s="20">
        <v>396</v>
      </c>
      <c r="F14" s="20">
        <v>394</v>
      </c>
      <c r="G14" s="20">
        <v>353</v>
      </c>
      <c r="H14" s="20">
        <f>SUM(I14:M14)</f>
        <v>645</v>
      </c>
      <c r="I14" s="20">
        <v>129</v>
      </c>
      <c r="J14" s="20">
        <v>121</v>
      </c>
      <c r="K14" s="20">
        <v>121</v>
      </c>
      <c r="L14" s="20">
        <v>124</v>
      </c>
      <c r="M14" s="20">
        <v>150</v>
      </c>
    </row>
    <row r="15" spans="1:13" ht="12.75" customHeight="1" x14ac:dyDescent="0.2">
      <c r="A15" s="29" t="s">
        <v>25</v>
      </c>
      <c r="B15" s="20">
        <f>C15+H15</f>
        <v>1579</v>
      </c>
      <c r="C15" s="20">
        <f>SUM(D15:G15)</f>
        <v>989</v>
      </c>
      <c r="D15" s="20">
        <v>255</v>
      </c>
      <c r="E15" s="20">
        <v>228</v>
      </c>
      <c r="F15" s="20">
        <v>260</v>
      </c>
      <c r="G15" s="20">
        <v>246</v>
      </c>
      <c r="H15" s="20">
        <f>SUM(I15:M15)</f>
        <v>590</v>
      </c>
      <c r="I15" s="20">
        <v>108</v>
      </c>
      <c r="J15" s="20">
        <v>107</v>
      </c>
      <c r="K15" s="20">
        <v>106</v>
      </c>
      <c r="L15" s="20">
        <v>106</v>
      </c>
      <c r="M15" s="20">
        <v>163</v>
      </c>
    </row>
    <row r="16" spans="1:13" ht="12.75" customHeight="1" x14ac:dyDescent="0.2">
      <c r="A16" s="29" t="s">
        <v>26</v>
      </c>
      <c r="B16" s="20">
        <f>C16+H16</f>
        <v>1419</v>
      </c>
      <c r="C16" s="20">
        <f>SUM(D16:G16)</f>
        <v>871</v>
      </c>
      <c r="D16" s="20">
        <v>228</v>
      </c>
      <c r="E16" s="20">
        <v>213</v>
      </c>
      <c r="F16" s="20">
        <v>212</v>
      </c>
      <c r="G16" s="20">
        <v>218</v>
      </c>
      <c r="H16" s="20">
        <f>SUM(I16:M16)</f>
        <v>548</v>
      </c>
      <c r="I16" s="20">
        <v>92</v>
      </c>
      <c r="J16" s="20">
        <v>87</v>
      </c>
      <c r="K16" s="20">
        <v>113</v>
      </c>
      <c r="L16" s="20">
        <v>117</v>
      </c>
      <c r="M16" s="20">
        <v>139</v>
      </c>
    </row>
    <row r="17" spans="1:13" ht="12.75" customHeight="1" x14ac:dyDescent="0.2">
      <c r="A17" s="41" t="s">
        <v>27</v>
      </c>
      <c r="B17" s="4">
        <f t="shared" ref="B17:M17" si="0">SUM(B12:B16)</f>
        <v>6608</v>
      </c>
      <c r="C17" s="4">
        <f t="shared" si="0"/>
        <v>4607</v>
      </c>
      <c r="D17" s="4">
        <f t="shared" si="0"/>
        <v>1162</v>
      </c>
      <c r="E17" s="4">
        <f t="shared" si="0"/>
        <v>1184</v>
      </c>
      <c r="F17" s="4">
        <f t="shared" si="0"/>
        <v>1158</v>
      </c>
      <c r="G17" s="4">
        <f t="shared" si="0"/>
        <v>1103</v>
      </c>
      <c r="H17" s="4">
        <f t="shared" si="0"/>
        <v>2001</v>
      </c>
      <c r="I17" s="4">
        <f t="shared" si="0"/>
        <v>374</v>
      </c>
      <c r="J17" s="4">
        <f t="shared" si="0"/>
        <v>357</v>
      </c>
      <c r="K17" s="4">
        <f t="shared" si="0"/>
        <v>387</v>
      </c>
      <c r="L17" s="4">
        <f t="shared" si="0"/>
        <v>381</v>
      </c>
      <c r="M17" s="4">
        <f t="shared" si="0"/>
        <v>502</v>
      </c>
    </row>
    <row r="18" spans="1:13" ht="12.75" customHeight="1" x14ac:dyDescent="0.2">
      <c r="A18" s="29"/>
    </row>
    <row r="19" spans="1:13" ht="12.75" customHeight="1" x14ac:dyDescent="0.2">
      <c r="A19" s="29" t="s">
        <v>28</v>
      </c>
      <c r="B19" s="20">
        <f t="shared" ref="B19:B36" si="1">C19+H19</f>
        <v>3157</v>
      </c>
      <c r="C19" s="20">
        <f t="shared" ref="C19:C36" si="2">SUM(D19:G19)</f>
        <v>2327</v>
      </c>
      <c r="D19" s="42">
        <v>585</v>
      </c>
      <c r="E19" s="42">
        <v>609</v>
      </c>
      <c r="F19" s="42">
        <v>583</v>
      </c>
      <c r="G19" s="42">
        <v>550</v>
      </c>
      <c r="H19" s="20">
        <f t="shared" ref="H19:H36" si="3">SUM(I19:M19)</f>
        <v>830</v>
      </c>
      <c r="I19" s="42">
        <v>171</v>
      </c>
      <c r="J19" s="42">
        <v>176</v>
      </c>
      <c r="K19" s="42">
        <v>146</v>
      </c>
      <c r="L19" s="42">
        <v>160</v>
      </c>
      <c r="M19" s="42">
        <v>177</v>
      </c>
    </row>
    <row r="20" spans="1:13" ht="12.75" customHeight="1" x14ac:dyDescent="0.2">
      <c r="A20" s="29" t="s">
        <v>29</v>
      </c>
      <c r="B20" s="20">
        <f t="shared" si="1"/>
        <v>229</v>
      </c>
      <c r="C20" s="20">
        <f t="shared" si="2"/>
        <v>229</v>
      </c>
      <c r="D20" s="20">
        <v>43</v>
      </c>
      <c r="E20" s="20">
        <v>67</v>
      </c>
      <c r="F20" s="20">
        <v>72</v>
      </c>
      <c r="G20" s="20">
        <v>47</v>
      </c>
      <c r="H20" s="20">
        <f t="shared" si="3"/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3" ht="12.75" customHeight="1" x14ac:dyDescent="0.2">
      <c r="A21" s="29" t="s">
        <v>30</v>
      </c>
      <c r="B21" s="20">
        <f t="shared" si="1"/>
        <v>390</v>
      </c>
      <c r="C21" s="20">
        <f t="shared" si="2"/>
        <v>390</v>
      </c>
      <c r="D21" s="20">
        <v>98</v>
      </c>
      <c r="E21" s="20">
        <v>101</v>
      </c>
      <c r="F21" s="20">
        <v>90</v>
      </c>
      <c r="G21" s="20">
        <v>101</v>
      </c>
      <c r="H21" s="20">
        <f t="shared" si="3"/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1:13" ht="12.75" customHeight="1" x14ac:dyDescent="0.2">
      <c r="A22" s="29" t="s">
        <v>31</v>
      </c>
      <c r="B22" s="20">
        <f t="shared" si="1"/>
        <v>708</v>
      </c>
      <c r="C22" s="20">
        <f t="shared" si="2"/>
        <v>610</v>
      </c>
      <c r="D22" s="20">
        <v>166</v>
      </c>
      <c r="E22" s="20">
        <v>159</v>
      </c>
      <c r="F22" s="20">
        <v>149</v>
      </c>
      <c r="G22" s="20">
        <v>136</v>
      </c>
      <c r="H22" s="20">
        <f t="shared" si="3"/>
        <v>98</v>
      </c>
      <c r="I22" s="20">
        <v>20</v>
      </c>
      <c r="J22" s="20">
        <v>24</v>
      </c>
      <c r="K22" s="20">
        <v>17</v>
      </c>
      <c r="L22" s="20">
        <v>19</v>
      </c>
      <c r="M22" s="20">
        <v>18</v>
      </c>
    </row>
    <row r="23" spans="1:13" ht="12.75" customHeight="1" x14ac:dyDescent="0.2">
      <c r="A23" s="29" t="s">
        <v>32</v>
      </c>
      <c r="B23" s="20">
        <f t="shared" si="1"/>
        <v>1289</v>
      </c>
      <c r="C23" s="20">
        <f t="shared" si="2"/>
        <v>887</v>
      </c>
      <c r="D23" s="20">
        <v>189</v>
      </c>
      <c r="E23" s="20">
        <v>254</v>
      </c>
      <c r="F23" s="20">
        <v>224</v>
      </c>
      <c r="G23" s="20">
        <v>220</v>
      </c>
      <c r="H23" s="20">
        <f t="shared" si="3"/>
        <v>402</v>
      </c>
      <c r="I23" s="20">
        <v>68</v>
      </c>
      <c r="J23" s="20">
        <v>74</v>
      </c>
      <c r="K23" s="20">
        <v>80</v>
      </c>
      <c r="L23" s="20">
        <v>69</v>
      </c>
      <c r="M23" s="20">
        <v>111</v>
      </c>
    </row>
    <row r="24" spans="1:13" ht="12.75" customHeight="1" x14ac:dyDescent="0.2">
      <c r="A24" s="29" t="s">
        <v>33</v>
      </c>
      <c r="B24" s="20">
        <f t="shared" si="1"/>
        <v>565</v>
      </c>
      <c r="C24" s="20">
        <f t="shared" si="2"/>
        <v>337</v>
      </c>
      <c r="D24" s="20">
        <v>88</v>
      </c>
      <c r="E24" s="20">
        <v>88</v>
      </c>
      <c r="F24" s="20">
        <v>82</v>
      </c>
      <c r="G24" s="20">
        <v>79</v>
      </c>
      <c r="H24" s="20">
        <f t="shared" si="3"/>
        <v>228</v>
      </c>
      <c r="I24" s="20">
        <v>39</v>
      </c>
      <c r="J24" s="20">
        <v>36</v>
      </c>
      <c r="K24" s="20">
        <v>40</v>
      </c>
      <c r="L24" s="20">
        <v>42</v>
      </c>
      <c r="M24" s="20">
        <v>71</v>
      </c>
    </row>
    <row r="25" spans="1:13" ht="12.75" customHeight="1" x14ac:dyDescent="0.2">
      <c r="A25" s="43" t="s">
        <v>34</v>
      </c>
      <c r="B25" s="20">
        <f t="shared" si="1"/>
        <v>1036</v>
      </c>
      <c r="C25" s="20">
        <f t="shared" si="2"/>
        <v>743</v>
      </c>
      <c r="D25" s="20">
        <v>197</v>
      </c>
      <c r="E25" s="20">
        <v>176</v>
      </c>
      <c r="F25" s="20">
        <v>201</v>
      </c>
      <c r="G25" s="20">
        <v>169</v>
      </c>
      <c r="H25" s="20">
        <f t="shared" si="3"/>
        <v>293</v>
      </c>
      <c r="I25" s="20">
        <v>44</v>
      </c>
      <c r="J25" s="20">
        <v>53</v>
      </c>
      <c r="K25" s="20">
        <v>58</v>
      </c>
      <c r="L25" s="20">
        <v>68</v>
      </c>
      <c r="M25" s="20">
        <v>70</v>
      </c>
    </row>
    <row r="26" spans="1:13" ht="12.75" customHeight="1" x14ac:dyDescent="0.2">
      <c r="A26" s="43" t="s">
        <v>35</v>
      </c>
      <c r="B26" s="20">
        <f t="shared" si="1"/>
        <v>1531</v>
      </c>
      <c r="C26" s="20">
        <f t="shared" si="2"/>
        <v>880</v>
      </c>
      <c r="D26" s="20">
        <v>243</v>
      </c>
      <c r="E26" s="20">
        <v>231</v>
      </c>
      <c r="F26" s="20">
        <v>210</v>
      </c>
      <c r="G26" s="20">
        <v>196</v>
      </c>
      <c r="H26" s="20">
        <f t="shared" si="3"/>
        <v>651</v>
      </c>
      <c r="I26" s="20">
        <v>134</v>
      </c>
      <c r="J26" s="20">
        <v>110</v>
      </c>
      <c r="K26" s="20">
        <v>131</v>
      </c>
      <c r="L26" s="20">
        <v>130</v>
      </c>
      <c r="M26" s="20">
        <v>146</v>
      </c>
    </row>
    <row r="27" spans="1:13" ht="12.75" customHeight="1" x14ac:dyDescent="0.2">
      <c r="A27" s="43" t="s">
        <v>36</v>
      </c>
      <c r="B27" s="20">
        <f t="shared" si="1"/>
        <v>401</v>
      </c>
      <c r="C27" s="20">
        <f t="shared" si="2"/>
        <v>197</v>
      </c>
      <c r="D27" s="42">
        <v>49</v>
      </c>
      <c r="E27" s="42">
        <v>57</v>
      </c>
      <c r="F27" s="42">
        <v>44</v>
      </c>
      <c r="G27" s="42">
        <v>47</v>
      </c>
      <c r="H27" s="20">
        <f t="shared" si="3"/>
        <v>204</v>
      </c>
      <c r="I27" s="42">
        <v>36</v>
      </c>
      <c r="J27" s="42">
        <v>44</v>
      </c>
      <c r="K27" s="42">
        <v>44</v>
      </c>
      <c r="L27" s="42">
        <v>42</v>
      </c>
      <c r="M27" s="42">
        <v>38</v>
      </c>
    </row>
    <row r="28" spans="1:13" ht="12.75" customHeight="1" x14ac:dyDescent="0.2">
      <c r="A28" s="43" t="s">
        <v>37</v>
      </c>
      <c r="B28" s="20">
        <f t="shared" si="1"/>
        <v>314</v>
      </c>
      <c r="C28" s="20">
        <f t="shared" si="2"/>
        <v>314</v>
      </c>
      <c r="D28" s="20">
        <v>78</v>
      </c>
      <c r="E28" s="20">
        <v>73</v>
      </c>
      <c r="F28" s="20">
        <v>86</v>
      </c>
      <c r="G28" s="20">
        <v>77</v>
      </c>
      <c r="H28" s="20">
        <f t="shared" si="3"/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1:13" ht="12.75" customHeight="1" x14ac:dyDescent="0.2">
      <c r="A29" s="43" t="s">
        <v>38</v>
      </c>
      <c r="B29" s="20">
        <f t="shared" si="1"/>
        <v>533</v>
      </c>
      <c r="C29" s="20">
        <f t="shared" si="2"/>
        <v>366</v>
      </c>
      <c r="D29" s="20">
        <v>94</v>
      </c>
      <c r="E29" s="20">
        <v>104</v>
      </c>
      <c r="F29" s="20">
        <v>81</v>
      </c>
      <c r="G29" s="20">
        <v>87</v>
      </c>
      <c r="H29" s="20">
        <f t="shared" si="3"/>
        <v>167</v>
      </c>
      <c r="I29" s="20">
        <v>35</v>
      </c>
      <c r="J29" s="20">
        <v>38</v>
      </c>
      <c r="K29" s="20">
        <v>27</v>
      </c>
      <c r="L29" s="20">
        <v>26</v>
      </c>
      <c r="M29" s="20">
        <v>41</v>
      </c>
    </row>
    <row r="30" spans="1:13" ht="12.75" customHeight="1" x14ac:dyDescent="0.2">
      <c r="A30" s="43" t="s">
        <v>39</v>
      </c>
      <c r="B30" s="20">
        <f t="shared" si="1"/>
        <v>1148</v>
      </c>
      <c r="C30" s="20">
        <f t="shared" si="2"/>
        <v>972</v>
      </c>
      <c r="D30" s="20">
        <v>246</v>
      </c>
      <c r="E30" s="20">
        <v>248</v>
      </c>
      <c r="F30" s="20">
        <v>233</v>
      </c>
      <c r="G30" s="20">
        <v>245</v>
      </c>
      <c r="H30" s="20">
        <f t="shared" si="3"/>
        <v>176</v>
      </c>
      <c r="I30" s="20">
        <v>36</v>
      </c>
      <c r="J30" s="20">
        <v>37</v>
      </c>
      <c r="K30" s="20">
        <v>28</v>
      </c>
      <c r="L30" s="20">
        <v>36</v>
      </c>
      <c r="M30" s="20">
        <v>39</v>
      </c>
    </row>
    <row r="31" spans="1:13" ht="12.75" customHeight="1" x14ac:dyDescent="0.2">
      <c r="A31" s="43" t="s">
        <v>40</v>
      </c>
      <c r="B31" s="20">
        <f t="shared" si="1"/>
        <v>672</v>
      </c>
      <c r="C31" s="20">
        <f t="shared" si="2"/>
        <v>479</v>
      </c>
      <c r="D31" s="20">
        <v>109</v>
      </c>
      <c r="E31" s="20">
        <v>123</v>
      </c>
      <c r="F31" s="20">
        <v>145</v>
      </c>
      <c r="G31" s="20">
        <v>102</v>
      </c>
      <c r="H31" s="20">
        <f t="shared" si="3"/>
        <v>193</v>
      </c>
      <c r="I31" s="20">
        <v>47</v>
      </c>
      <c r="J31" s="20">
        <v>36</v>
      </c>
      <c r="K31" s="20">
        <v>39</v>
      </c>
      <c r="L31" s="20">
        <v>36</v>
      </c>
      <c r="M31" s="20">
        <v>35</v>
      </c>
    </row>
    <row r="32" spans="1:13" ht="12.75" customHeight="1" x14ac:dyDescent="0.2">
      <c r="A32" s="43" t="s">
        <v>41</v>
      </c>
      <c r="B32" s="20">
        <f t="shared" si="1"/>
        <v>784</v>
      </c>
      <c r="C32" s="20">
        <f t="shared" si="2"/>
        <v>585</v>
      </c>
      <c r="D32" s="20">
        <v>132</v>
      </c>
      <c r="E32" s="20">
        <v>169</v>
      </c>
      <c r="F32" s="20">
        <v>142</v>
      </c>
      <c r="G32" s="20">
        <v>142</v>
      </c>
      <c r="H32" s="20">
        <f t="shared" si="3"/>
        <v>199</v>
      </c>
      <c r="I32" s="20">
        <v>34</v>
      </c>
      <c r="J32" s="20">
        <v>46</v>
      </c>
      <c r="K32" s="20">
        <v>37</v>
      </c>
      <c r="L32" s="20">
        <v>48</v>
      </c>
      <c r="M32" s="20">
        <v>34</v>
      </c>
    </row>
    <row r="33" spans="1:13" ht="12.75" customHeight="1" x14ac:dyDescent="0.2">
      <c r="A33" s="43" t="s">
        <v>42</v>
      </c>
      <c r="B33" s="20">
        <f t="shared" si="1"/>
        <v>1789</v>
      </c>
      <c r="C33" s="20">
        <f t="shared" si="2"/>
        <v>1320</v>
      </c>
      <c r="D33" s="20">
        <v>346</v>
      </c>
      <c r="E33" s="20">
        <v>334</v>
      </c>
      <c r="F33" s="20">
        <v>349</v>
      </c>
      <c r="G33" s="20">
        <v>291</v>
      </c>
      <c r="H33" s="20">
        <f t="shared" si="3"/>
        <v>469</v>
      </c>
      <c r="I33" s="20">
        <v>88</v>
      </c>
      <c r="J33" s="20">
        <v>79</v>
      </c>
      <c r="K33" s="20">
        <v>81</v>
      </c>
      <c r="L33" s="20">
        <v>100</v>
      </c>
      <c r="M33" s="20">
        <v>121</v>
      </c>
    </row>
    <row r="34" spans="1:13" ht="12.75" customHeight="1" x14ac:dyDescent="0.2">
      <c r="A34" s="43" t="s">
        <v>43</v>
      </c>
      <c r="B34" s="20">
        <f t="shared" si="1"/>
        <v>426</v>
      </c>
      <c r="C34" s="20">
        <f t="shared" si="2"/>
        <v>282</v>
      </c>
      <c r="D34" s="20">
        <v>74</v>
      </c>
      <c r="E34" s="20">
        <v>83</v>
      </c>
      <c r="F34" s="20">
        <v>54</v>
      </c>
      <c r="G34" s="20">
        <v>71</v>
      </c>
      <c r="H34" s="20">
        <f t="shared" si="3"/>
        <v>144</v>
      </c>
      <c r="I34" s="20">
        <v>20</v>
      </c>
      <c r="J34" s="20">
        <v>35</v>
      </c>
      <c r="K34" s="20">
        <v>18</v>
      </c>
      <c r="L34" s="20">
        <v>37</v>
      </c>
      <c r="M34" s="20">
        <v>34</v>
      </c>
    </row>
    <row r="35" spans="1:13" ht="12.75" customHeight="1" x14ac:dyDescent="0.2">
      <c r="A35" s="43" t="s">
        <v>44</v>
      </c>
      <c r="B35" s="20">
        <f t="shared" si="1"/>
        <v>1695</v>
      </c>
      <c r="C35" s="20">
        <f t="shared" si="2"/>
        <v>1245</v>
      </c>
      <c r="D35" s="20">
        <v>298</v>
      </c>
      <c r="E35" s="20">
        <v>328</v>
      </c>
      <c r="F35" s="20">
        <v>322</v>
      </c>
      <c r="G35" s="20">
        <v>297</v>
      </c>
      <c r="H35" s="20">
        <f t="shared" si="3"/>
        <v>450</v>
      </c>
      <c r="I35" s="20">
        <v>92</v>
      </c>
      <c r="J35" s="20">
        <v>71</v>
      </c>
      <c r="K35" s="20">
        <v>92</v>
      </c>
      <c r="L35" s="20">
        <v>101</v>
      </c>
      <c r="M35" s="20">
        <v>94</v>
      </c>
    </row>
    <row r="36" spans="1:13" ht="12.75" customHeight="1" x14ac:dyDescent="0.2">
      <c r="A36" s="43" t="s">
        <v>45</v>
      </c>
      <c r="B36" s="20">
        <f t="shared" si="1"/>
        <v>1961</v>
      </c>
      <c r="C36" s="20">
        <f t="shared" si="2"/>
        <v>1311</v>
      </c>
      <c r="D36" s="20">
        <v>305</v>
      </c>
      <c r="E36" s="20">
        <v>344</v>
      </c>
      <c r="F36" s="20">
        <v>348</v>
      </c>
      <c r="G36" s="20">
        <v>314</v>
      </c>
      <c r="H36" s="20">
        <f t="shared" si="3"/>
        <v>650</v>
      </c>
      <c r="I36" s="20">
        <v>122</v>
      </c>
      <c r="J36" s="20">
        <v>138</v>
      </c>
      <c r="K36" s="20">
        <v>110</v>
      </c>
      <c r="L36" s="20">
        <v>143</v>
      </c>
      <c r="M36" s="20">
        <v>137</v>
      </c>
    </row>
    <row r="37" spans="1:13" ht="12.75" customHeight="1" x14ac:dyDescent="0.2">
      <c r="A37" s="44" t="s">
        <v>46</v>
      </c>
      <c r="B37" s="4">
        <f t="shared" ref="B37:M37" si="4">SUM(B19:B36)</f>
        <v>18628</v>
      </c>
      <c r="C37" s="4">
        <f t="shared" si="4"/>
        <v>13474</v>
      </c>
      <c r="D37" s="4">
        <f t="shared" si="4"/>
        <v>3340</v>
      </c>
      <c r="E37" s="4">
        <f t="shared" si="4"/>
        <v>3548</v>
      </c>
      <c r="F37" s="4">
        <f t="shared" si="4"/>
        <v>3415</v>
      </c>
      <c r="G37" s="4">
        <f t="shared" si="4"/>
        <v>3171</v>
      </c>
      <c r="H37" s="4">
        <f t="shared" si="4"/>
        <v>5154</v>
      </c>
      <c r="I37" s="4">
        <f t="shared" si="4"/>
        <v>986</v>
      </c>
      <c r="J37" s="4">
        <f t="shared" si="4"/>
        <v>997</v>
      </c>
      <c r="K37" s="4">
        <f t="shared" si="4"/>
        <v>948</v>
      </c>
      <c r="L37" s="4">
        <f t="shared" si="4"/>
        <v>1057</v>
      </c>
      <c r="M37" s="4">
        <f t="shared" si="4"/>
        <v>1166</v>
      </c>
    </row>
    <row r="38" spans="1:13" ht="12.75" customHeight="1" x14ac:dyDescent="0.2">
      <c r="A38" s="43"/>
    </row>
    <row r="39" spans="1:13" ht="12.75" customHeight="1" x14ac:dyDescent="0.2">
      <c r="A39" s="44" t="s">
        <v>47</v>
      </c>
      <c r="B39" s="4">
        <f t="shared" ref="B39:M39" si="5">B17+B37</f>
        <v>25236</v>
      </c>
      <c r="C39" s="4">
        <f t="shared" si="5"/>
        <v>18081</v>
      </c>
      <c r="D39" s="4">
        <f t="shared" si="5"/>
        <v>4502</v>
      </c>
      <c r="E39" s="4">
        <f t="shared" si="5"/>
        <v>4732</v>
      </c>
      <c r="F39" s="4">
        <f t="shared" si="5"/>
        <v>4573</v>
      </c>
      <c r="G39" s="4">
        <f t="shared" si="5"/>
        <v>4274</v>
      </c>
      <c r="H39" s="4">
        <f t="shared" si="5"/>
        <v>7155</v>
      </c>
      <c r="I39" s="4">
        <f t="shared" si="5"/>
        <v>1360</v>
      </c>
      <c r="J39" s="4">
        <f t="shared" si="5"/>
        <v>1354</v>
      </c>
      <c r="K39" s="4">
        <f t="shared" si="5"/>
        <v>1335</v>
      </c>
      <c r="L39" s="4">
        <f t="shared" si="5"/>
        <v>1438</v>
      </c>
      <c r="M39" s="4">
        <f t="shared" si="5"/>
        <v>1668</v>
      </c>
    </row>
    <row r="64" spans="1:1" ht="10.199999999999999" x14ac:dyDescent="0.2">
      <c r="A64" s="45"/>
    </row>
    <row r="65" ht="10.199999999999999" x14ac:dyDescent="0.2"/>
  </sheetData>
  <phoneticPr fontId="9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F2" sqref="F2"/>
    </sheetView>
  </sheetViews>
  <sheetFormatPr baseColWidth="10" defaultColWidth="8.42578125" defaultRowHeight="12.75" customHeight="1" x14ac:dyDescent="0.2"/>
  <cols>
    <col min="1" max="1" width="18.7109375" style="20" customWidth="1"/>
    <col min="2" max="3" width="8.140625" style="20" customWidth="1"/>
    <col min="4" max="7" width="7.7109375" style="20" customWidth="1"/>
    <col min="8" max="8" width="8.140625" style="20" customWidth="1"/>
    <col min="9" max="13" width="7.7109375" style="20" customWidth="1"/>
    <col min="14" max="16384" width="8.42578125" style="20"/>
  </cols>
  <sheetData>
    <row r="1" spans="1:13" ht="12.75" customHeight="1" x14ac:dyDescent="0.25">
      <c r="A1" s="1" t="s">
        <v>52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3" ht="12.75" customHeight="1" x14ac:dyDescent="0.25">
      <c r="A3" s="3" t="s">
        <v>73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2.75" customHeight="1" x14ac:dyDescent="0.25">
      <c r="A4" s="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2.7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2.75" customHeight="1" x14ac:dyDescent="0.2">
      <c r="A6" s="24"/>
      <c r="B6" s="25" t="s">
        <v>3</v>
      </c>
      <c r="C6" s="26" t="s">
        <v>4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2.75" customHeight="1" x14ac:dyDescent="0.2">
      <c r="A7" s="24"/>
      <c r="B7" s="25" t="s">
        <v>5</v>
      </c>
      <c r="C7" s="27" t="s">
        <v>3</v>
      </c>
      <c r="D7" s="22" t="s">
        <v>6</v>
      </c>
      <c r="E7" s="22"/>
      <c r="F7" s="22"/>
      <c r="G7" s="28"/>
      <c r="H7" s="25" t="s">
        <v>7</v>
      </c>
      <c r="I7" s="22" t="s">
        <v>6</v>
      </c>
      <c r="J7" s="22"/>
      <c r="K7" s="22"/>
      <c r="L7" s="22"/>
      <c r="M7" s="22"/>
    </row>
    <row r="8" spans="1:13" ht="12.75" customHeight="1" x14ac:dyDescent="0.2">
      <c r="A8" s="29" t="s">
        <v>8</v>
      </c>
      <c r="B8" s="25" t="s">
        <v>9</v>
      </c>
      <c r="C8" s="27" t="s">
        <v>10</v>
      </c>
      <c r="D8" s="30"/>
      <c r="E8" s="30"/>
      <c r="F8" s="30"/>
      <c r="G8" s="31"/>
      <c r="H8" s="27" t="s">
        <v>10</v>
      </c>
      <c r="I8" s="32"/>
      <c r="J8" s="32"/>
      <c r="K8" s="32"/>
      <c r="L8" s="32"/>
      <c r="M8" s="32"/>
    </row>
    <row r="9" spans="1:13" ht="12.75" customHeight="1" x14ac:dyDescent="0.2">
      <c r="A9" s="28"/>
      <c r="B9" s="27" t="s">
        <v>10</v>
      </c>
      <c r="C9" s="69" t="s">
        <v>86</v>
      </c>
      <c r="D9" s="33" t="s">
        <v>11</v>
      </c>
      <c r="E9" s="33"/>
      <c r="F9" s="33"/>
      <c r="G9" s="34"/>
      <c r="H9" s="69" t="s">
        <v>86</v>
      </c>
      <c r="I9" s="33" t="s">
        <v>11</v>
      </c>
      <c r="J9" s="33"/>
      <c r="K9" s="33"/>
      <c r="L9" s="33"/>
      <c r="M9" s="33"/>
    </row>
    <row r="10" spans="1:13" ht="12.75" customHeight="1" x14ac:dyDescent="0.2">
      <c r="A10" s="35"/>
      <c r="B10" s="36" t="s">
        <v>12</v>
      </c>
      <c r="C10" s="70" t="s">
        <v>87</v>
      </c>
      <c r="D10" s="37" t="s">
        <v>13</v>
      </c>
      <c r="E10" s="37" t="s">
        <v>14</v>
      </c>
      <c r="F10" s="37" t="s">
        <v>15</v>
      </c>
      <c r="G10" s="38" t="s">
        <v>16</v>
      </c>
      <c r="H10" s="70" t="s">
        <v>87</v>
      </c>
      <c r="I10" s="37" t="s">
        <v>17</v>
      </c>
      <c r="J10" s="37" t="s">
        <v>18</v>
      </c>
      <c r="K10" s="37" t="s">
        <v>19</v>
      </c>
      <c r="L10" s="37" t="s">
        <v>20</v>
      </c>
      <c r="M10" s="39" t="s">
        <v>21</v>
      </c>
    </row>
    <row r="11" spans="1:13" ht="12.75" customHeight="1" x14ac:dyDescent="0.2">
      <c r="A11" s="24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2.75" customHeight="1" x14ac:dyDescent="0.2">
      <c r="A12" s="29" t="s">
        <v>22</v>
      </c>
      <c r="B12" s="20">
        <f>C12+H12</f>
        <v>298</v>
      </c>
      <c r="C12" s="20">
        <f>SUM(D12:G12)</f>
        <v>298</v>
      </c>
      <c r="D12" s="20">
        <v>81</v>
      </c>
      <c r="E12" s="20">
        <v>81</v>
      </c>
      <c r="F12" s="20">
        <v>65</v>
      </c>
      <c r="G12" s="20">
        <v>71</v>
      </c>
      <c r="H12" s="20">
        <f>SUM(I12:M12)</f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3" ht="12.75" customHeight="1" x14ac:dyDescent="0.2">
      <c r="A13" s="29" t="s">
        <v>23</v>
      </c>
      <c r="B13" s="20">
        <f>C13+H13</f>
        <v>1199</v>
      </c>
      <c r="C13" s="20">
        <f>SUM(D13:G13)</f>
        <v>974</v>
      </c>
      <c r="D13" s="20">
        <v>260</v>
      </c>
      <c r="E13" s="20">
        <v>242</v>
      </c>
      <c r="F13" s="20">
        <v>241</v>
      </c>
      <c r="G13" s="20">
        <v>231</v>
      </c>
      <c r="H13" s="20">
        <f>SUM(I13:M13)</f>
        <v>225</v>
      </c>
      <c r="I13" s="20">
        <v>58</v>
      </c>
      <c r="J13" s="20">
        <v>45</v>
      </c>
      <c r="K13" s="20">
        <v>35</v>
      </c>
      <c r="L13" s="20">
        <v>46</v>
      </c>
      <c r="M13" s="20">
        <v>41</v>
      </c>
    </row>
    <row r="14" spans="1:13" ht="12.75" customHeight="1" x14ac:dyDescent="0.2">
      <c r="A14" s="29" t="s">
        <v>24</v>
      </c>
      <c r="B14" s="20">
        <f>C14+H14</f>
        <v>2134</v>
      </c>
      <c r="C14" s="20">
        <f>SUM(D14:G14)</f>
        <v>1499</v>
      </c>
      <c r="D14" s="20">
        <v>393</v>
      </c>
      <c r="E14" s="20">
        <v>407</v>
      </c>
      <c r="F14" s="20">
        <v>365</v>
      </c>
      <c r="G14" s="20">
        <v>334</v>
      </c>
      <c r="H14" s="20">
        <f>SUM(I14:M14)</f>
        <v>635</v>
      </c>
      <c r="I14" s="20">
        <v>125</v>
      </c>
      <c r="J14" s="20">
        <v>122</v>
      </c>
      <c r="K14" s="20">
        <v>128</v>
      </c>
      <c r="L14" s="20">
        <v>121</v>
      </c>
      <c r="M14" s="20">
        <v>139</v>
      </c>
    </row>
    <row r="15" spans="1:13" ht="12.75" customHeight="1" x14ac:dyDescent="0.2">
      <c r="A15" s="29" t="s">
        <v>25</v>
      </c>
      <c r="B15" s="20">
        <f>C15+H15</f>
        <v>1595</v>
      </c>
      <c r="C15" s="20">
        <f>SUM(D15:G15)</f>
        <v>974</v>
      </c>
      <c r="D15" s="20">
        <v>223</v>
      </c>
      <c r="E15" s="20">
        <v>243</v>
      </c>
      <c r="F15" s="20">
        <v>255</v>
      </c>
      <c r="G15" s="20">
        <v>253</v>
      </c>
      <c r="H15" s="20">
        <f>SUM(I15:M15)</f>
        <v>621</v>
      </c>
      <c r="I15" s="20">
        <v>103</v>
      </c>
      <c r="J15" s="20">
        <v>99</v>
      </c>
      <c r="K15" s="20">
        <v>114</v>
      </c>
      <c r="L15" s="20">
        <v>136</v>
      </c>
      <c r="M15" s="20">
        <v>169</v>
      </c>
    </row>
    <row r="16" spans="1:13" ht="12.75" customHeight="1" x14ac:dyDescent="0.2">
      <c r="A16" s="29" t="s">
        <v>26</v>
      </c>
      <c r="B16" s="20">
        <f>C16+H16</f>
        <v>1488</v>
      </c>
      <c r="C16" s="20">
        <f>SUM(D16:G16)</f>
        <v>901</v>
      </c>
      <c r="D16" s="20">
        <v>221</v>
      </c>
      <c r="E16" s="20">
        <v>222</v>
      </c>
      <c r="F16" s="20">
        <v>224</v>
      </c>
      <c r="G16" s="20">
        <v>234</v>
      </c>
      <c r="H16" s="20">
        <f>SUM(I16:M16)</f>
        <v>587</v>
      </c>
      <c r="I16" s="20">
        <v>98</v>
      </c>
      <c r="J16" s="20">
        <v>111</v>
      </c>
      <c r="K16" s="20">
        <v>116</v>
      </c>
      <c r="L16" s="20">
        <v>91</v>
      </c>
      <c r="M16" s="20">
        <v>171</v>
      </c>
    </row>
    <row r="17" spans="1:13" ht="12.75" customHeight="1" x14ac:dyDescent="0.2">
      <c r="A17" s="41" t="s">
        <v>27</v>
      </c>
      <c r="B17" s="4">
        <f t="shared" ref="B17:M17" si="0">SUM(B12:B16)</f>
        <v>6714</v>
      </c>
      <c r="C17" s="4">
        <f t="shared" si="0"/>
        <v>4646</v>
      </c>
      <c r="D17" s="4">
        <f t="shared" si="0"/>
        <v>1178</v>
      </c>
      <c r="E17" s="4">
        <f t="shared" si="0"/>
        <v>1195</v>
      </c>
      <c r="F17" s="4">
        <f t="shared" si="0"/>
        <v>1150</v>
      </c>
      <c r="G17" s="4">
        <f t="shared" si="0"/>
        <v>1123</v>
      </c>
      <c r="H17" s="4">
        <f t="shared" si="0"/>
        <v>2068</v>
      </c>
      <c r="I17" s="4">
        <f t="shared" si="0"/>
        <v>384</v>
      </c>
      <c r="J17" s="4">
        <f t="shared" si="0"/>
        <v>377</v>
      </c>
      <c r="K17" s="4">
        <f t="shared" si="0"/>
        <v>393</v>
      </c>
      <c r="L17" s="4">
        <f t="shared" si="0"/>
        <v>394</v>
      </c>
      <c r="M17" s="4">
        <f t="shared" si="0"/>
        <v>520</v>
      </c>
    </row>
    <row r="18" spans="1:13" ht="12.75" customHeight="1" x14ac:dyDescent="0.2">
      <c r="A18" s="29"/>
    </row>
    <row r="19" spans="1:13" ht="12.75" customHeight="1" x14ac:dyDescent="0.2">
      <c r="A19" s="29" t="s">
        <v>28</v>
      </c>
      <c r="B19" s="20">
        <f t="shared" ref="B19:B36" si="1">C19+H19</f>
        <v>3226</v>
      </c>
      <c r="C19" s="20">
        <f t="shared" ref="C19:C36" si="2">SUM(D19:G19)</f>
        <v>2364</v>
      </c>
      <c r="D19" s="42">
        <v>592</v>
      </c>
      <c r="E19" s="42">
        <v>607</v>
      </c>
      <c r="F19" s="42">
        <v>582</v>
      </c>
      <c r="G19" s="42">
        <v>583</v>
      </c>
      <c r="H19" s="20">
        <f t="shared" ref="H19:H36" si="3">SUM(I19:M19)</f>
        <v>862</v>
      </c>
      <c r="I19" s="42">
        <v>198</v>
      </c>
      <c r="J19" s="42">
        <v>151</v>
      </c>
      <c r="K19" s="42">
        <v>174</v>
      </c>
      <c r="L19" s="42">
        <v>153</v>
      </c>
      <c r="M19" s="42">
        <v>186</v>
      </c>
    </row>
    <row r="20" spans="1:13" ht="12.75" customHeight="1" x14ac:dyDescent="0.2">
      <c r="A20" s="29" t="s">
        <v>29</v>
      </c>
      <c r="B20" s="20">
        <f t="shared" si="1"/>
        <v>237</v>
      </c>
      <c r="C20" s="20">
        <f t="shared" si="2"/>
        <v>237</v>
      </c>
      <c r="D20" s="20">
        <v>66</v>
      </c>
      <c r="E20" s="20">
        <v>67</v>
      </c>
      <c r="F20" s="20">
        <v>42</v>
      </c>
      <c r="G20" s="20">
        <v>62</v>
      </c>
      <c r="H20" s="20">
        <f t="shared" si="3"/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3" ht="12.75" customHeight="1" x14ac:dyDescent="0.2">
      <c r="A21" s="29" t="s">
        <v>30</v>
      </c>
      <c r="B21" s="20">
        <f t="shared" si="1"/>
        <v>391</v>
      </c>
      <c r="C21" s="20">
        <f t="shared" si="2"/>
        <v>391</v>
      </c>
      <c r="D21" s="20">
        <v>101</v>
      </c>
      <c r="E21" s="20">
        <v>100</v>
      </c>
      <c r="F21" s="20">
        <v>108</v>
      </c>
      <c r="G21" s="20">
        <v>82</v>
      </c>
      <c r="H21" s="20">
        <f t="shared" si="3"/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1:13" ht="12.75" customHeight="1" x14ac:dyDescent="0.2">
      <c r="A22" s="29" t="s">
        <v>31</v>
      </c>
      <c r="B22" s="20">
        <f t="shared" si="1"/>
        <v>723</v>
      </c>
      <c r="C22" s="20">
        <f t="shared" si="2"/>
        <v>607</v>
      </c>
      <c r="D22" s="20">
        <v>148</v>
      </c>
      <c r="E22" s="20">
        <v>158</v>
      </c>
      <c r="F22" s="20">
        <v>140</v>
      </c>
      <c r="G22" s="20">
        <v>161</v>
      </c>
      <c r="H22" s="20">
        <f t="shared" si="3"/>
        <v>116</v>
      </c>
      <c r="I22" s="20">
        <v>29</v>
      </c>
      <c r="J22" s="20">
        <v>19</v>
      </c>
      <c r="K22" s="20">
        <v>25</v>
      </c>
      <c r="L22" s="20">
        <v>25</v>
      </c>
      <c r="M22" s="20">
        <v>18</v>
      </c>
    </row>
    <row r="23" spans="1:13" ht="12.75" customHeight="1" x14ac:dyDescent="0.2">
      <c r="A23" s="29" t="s">
        <v>32</v>
      </c>
      <c r="B23" s="20">
        <f t="shared" si="1"/>
        <v>1313</v>
      </c>
      <c r="C23" s="20">
        <f t="shared" si="2"/>
        <v>907</v>
      </c>
      <c r="D23" s="20">
        <v>231</v>
      </c>
      <c r="E23" s="20">
        <v>228</v>
      </c>
      <c r="F23" s="20">
        <v>243</v>
      </c>
      <c r="G23" s="20">
        <v>205</v>
      </c>
      <c r="H23" s="20">
        <f t="shared" si="3"/>
        <v>406</v>
      </c>
      <c r="I23" s="20">
        <v>77</v>
      </c>
      <c r="J23" s="20">
        <v>75</v>
      </c>
      <c r="K23" s="20">
        <v>65</v>
      </c>
      <c r="L23" s="20">
        <v>82</v>
      </c>
      <c r="M23" s="20">
        <v>107</v>
      </c>
    </row>
    <row r="24" spans="1:13" ht="12.75" customHeight="1" x14ac:dyDescent="0.2">
      <c r="A24" s="29" t="s">
        <v>33</v>
      </c>
      <c r="B24" s="20">
        <f t="shared" si="1"/>
        <v>565</v>
      </c>
      <c r="C24" s="20">
        <f t="shared" si="2"/>
        <v>343</v>
      </c>
      <c r="D24" s="20">
        <v>94</v>
      </c>
      <c r="E24" s="20">
        <v>80</v>
      </c>
      <c r="F24" s="20">
        <v>90</v>
      </c>
      <c r="G24" s="20">
        <v>79</v>
      </c>
      <c r="H24" s="20">
        <f t="shared" si="3"/>
        <v>222</v>
      </c>
      <c r="I24" s="20">
        <v>26</v>
      </c>
      <c r="J24" s="20">
        <v>34</v>
      </c>
      <c r="K24" s="20">
        <v>39</v>
      </c>
      <c r="L24" s="20">
        <v>52</v>
      </c>
      <c r="M24" s="20">
        <v>71</v>
      </c>
    </row>
    <row r="25" spans="1:13" ht="12.75" customHeight="1" x14ac:dyDescent="0.2">
      <c r="A25" s="43" t="s">
        <v>34</v>
      </c>
      <c r="B25" s="20">
        <f t="shared" si="1"/>
        <v>1033</v>
      </c>
      <c r="C25" s="20">
        <f t="shared" si="2"/>
        <v>739</v>
      </c>
      <c r="D25" s="20">
        <v>183</v>
      </c>
      <c r="E25" s="20">
        <v>198</v>
      </c>
      <c r="F25" s="20">
        <v>183</v>
      </c>
      <c r="G25" s="20">
        <v>175</v>
      </c>
      <c r="H25" s="20">
        <f t="shared" si="3"/>
        <v>294</v>
      </c>
      <c r="I25" s="20">
        <v>53</v>
      </c>
      <c r="J25" s="20">
        <v>51</v>
      </c>
      <c r="K25" s="20">
        <v>59</v>
      </c>
      <c r="L25" s="20">
        <v>62</v>
      </c>
      <c r="M25" s="20">
        <v>69</v>
      </c>
    </row>
    <row r="26" spans="1:13" ht="12.75" customHeight="1" x14ac:dyDescent="0.2">
      <c r="A26" s="43" t="s">
        <v>35</v>
      </c>
      <c r="B26" s="20">
        <f t="shared" si="1"/>
        <v>1563</v>
      </c>
      <c r="C26" s="20">
        <f t="shared" si="2"/>
        <v>884</v>
      </c>
      <c r="D26" s="20">
        <v>225</v>
      </c>
      <c r="E26" s="20">
        <v>200</v>
      </c>
      <c r="F26" s="20">
        <v>204</v>
      </c>
      <c r="G26" s="20">
        <v>255</v>
      </c>
      <c r="H26" s="20">
        <f t="shared" si="3"/>
        <v>679</v>
      </c>
      <c r="I26" s="20">
        <v>125</v>
      </c>
      <c r="J26" s="20">
        <v>128</v>
      </c>
      <c r="K26" s="20">
        <v>135</v>
      </c>
      <c r="L26" s="20">
        <v>143</v>
      </c>
      <c r="M26" s="20">
        <v>148</v>
      </c>
    </row>
    <row r="27" spans="1:13" ht="12.75" customHeight="1" x14ac:dyDescent="0.2">
      <c r="A27" s="43" t="s">
        <v>36</v>
      </c>
      <c r="B27" s="20">
        <f t="shared" si="1"/>
        <v>430</v>
      </c>
      <c r="C27" s="20">
        <f t="shared" si="2"/>
        <v>220</v>
      </c>
      <c r="D27" s="42">
        <v>53</v>
      </c>
      <c r="E27" s="42">
        <v>56</v>
      </c>
      <c r="F27" s="42">
        <v>47</v>
      </c>
      <c r="G27" s="42">
        <v>64</v>
      </c>
      <c r="H27" s="20">
        <f t="shared" si="3"/>
        <v>210</v>
      </c>
      <c r="I27" s="42">
        <v>46</v>
      </c>
      <c r="J27" s="42">
        <v>34</v>
      </c>
      <c r="K27" s="42">
        <v>47</v>
      </c>
      <c r="L27" s="42">
        <v>45</v>
      </c>
      <c r="M27" s="42">
        <v>38</v>
      </c>
    </row>
    <row r="28" spans="1:13" ht="12.75" customHeight="1" x14ac:dyDescent="0.2">
      <c r="A28" s="43" t="s">
        <v>37</v>
      </c>
      <c r="B28" s="20">
        <f t="shared" si="1"/>
        <v>297</v>
      </c>
      <c r="C28" s="20">
        <f t="shared" si="2"/>
        <v>297</v>
      </c>
      <c r="D28" s="20">
        <v>70</v>
      </c>
      <c r="E28" s="20">
        <v>85</v>
      </c>
      <c r="F28" s="20">
        <v>78</v>
      </c>
      <c r="G28" s="20">
        <v>64</v>
      </c>
      <c r="H28" s="20">
        <f t="shared" si="3"/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1:13" ht="12.75" customHeight="1" x14ac:dyDescent="0.2">
      <c r="A29" s="43" t="s">
        <v>38</v>
      </c>
      <c r="B29" s="20">
        <f t="shared" si="1"/>
        <v>539</v>
      </c>
      <c r="C29" s="20">
        <f t="shared" si="2"/>
        <v>390</v>
      </c>
      <c r="D29" s="20">
        <v>102</v>
      </c>
      <c r="E29" s="20">
        <v>90</v>
      </c>
      <c r="F29" s="20">
        <v>87</v>
      </c>
      <c r="G29" s="20">
        <v>111</v>
      </c>
      <c r="H29" s="20">
        <f t="shared" si="3"/>
        <v>149</v>
      </c>
      <c r="I29" s="20">
        <v>39</v>
      </c>
      <c r="J29" s="20">
        <v>24</v>
      </c>
      <c r="K29" s="20">
        <v>25</v>
      </c>
      <c r="L29" s="20">
        <v>38</v>
      </c>
      <c r="M29" s="20">
        <v>23</v>
      </c>
    </row>
    <row r="30" spans="1:13" ht="12.75" customHeight="1" x14ac:dyDescent="0.2">
      <c r="A30" s="43" t="s">
        <v>39</v>
      </c>
      <c r="B30" s="20">
        <f t="shared" si="1"/>
        <v>1149</v>
      </c>
      <c r="C30" s="20">
        <f t="shared" si="2"/>
        <v>960</v>
      </c>
      <c r="D30" s="20">
        <v>252</v>
      </c>
      <c r="E30" s="20">
        <v>233</v>
      </c>
      <c r="F30" s="20">
        <v>239</v>
      </c>
      <c r="G30" s="20">
        <v>236</v>
      </c>
      <c r="H30" s="20">
        <f t="shared" si="3"/>
        <v>189</v>
      </c>
      <c r="I30" s="20">
        <v>38</v>
      </c>
      <c r="J30" s="20">
        <v>33</v>
      </c>
      <c r="K30" s="20">
        <v>38</v>
      </c>
      <c r="L30" s="20">
        <v>41</v>
      </c>
      <c r="M30" s="20">
        <v>39</v>
      </c>
    </row>
    <row r="31" spans="1:13" ht="12.75" customHeight="1" x14ac:dyDescent="0.2">
      <c r="A31" s="43" t="s">
        <v>40</v>
      </c>
      <c r="B31" s="20">
        <f t="shared" si="1"/>
        <v>705</v>
      </c>
      <c r="C31" s="20">
        <f t="shared" si="2"/>
        <v>504</v>
      </c>
      <c r="D31" s="20">
        <v>128</v>
      </c>
      <c r="E31" s="20">
        <v>149</v>
      </c>
      <c r="F31" s="20">
        <v>107</v>
      </c>
      <c r="G31" s="20">
        <v>120</v>
      </c>
      <c r="H31" s="20">
        <f t="shared" si="3"/>
        <v>201</v>
      </c>
      <c r="I31" s="20">
        <v>41</v>
      </c>
      <c r="J31" s="20">
        <v>39</v>
      </c>
      <c r="K31" s="20">
        <v>38</v>
      </c>
      <c r="L31" s="20">
        <v>36</v>
      </c>
      <c r="M31" s="20">
        <v>47</v>
      </c>
    </row>
    <row r="32" spans="1:13" ht="12.75" customHeight="1" x14ac:dyDescent="0.2">
      <c r="A32" s="43" t="s">
        <v>41</v>
      </c>
      <c r="B32" s="20">
        <f t="shared" si="1"/>
        <v>790</v>
      </c>
      <c r="C32" s="20">
        <f t="shared" si="2"/>
        <v>585</v>
      </c>
      <c r="D32" s="20">
        <v>156</v>
      </c>
      <c r="E32" s="20">
        <v>149</v>
      </c>
      <c r="F32" s="20">
        <v>147</v>
      </c>
      <c r="G32" s="20">
        <v>133</v>
      </c>
      <c r="H32" s="20">
        <f t="shared" si="3"/>
        <v>205</v>
      </c>
      <c r="I32" s="20">
        <v>45</v>
      </c>
      <c r="J32" s="20">
        <v>34</v>
      </c>
      <c r="K32" s="20">
        <v>42</v>
      </c>
      <c r="L32" s="20">
        <v>42</v>
      </c>
      <c r="M32" s="20">
        <v>42</v>
      </c>
    </row>
    <row r="33" spans="1:13" ht="12.75" customHeight="1" x14ac:dyDescent="0.2">
      <c r="A33" s="43" t="s">
        <v>42</v>
      </c>
      <c r="B33" s="20">
        <f t="shared" si="1"/>
        <v>1741</v>
      </c>
      <c r="C33" s="20">
        <f t="shared" si="2"/>
        <v>1274</v>
      </c>
      <c r="D33" s="20">
        <v>332</v>
      </c>
      <c r="E33" s="20">
        <v>331</v>
      </c>
      <c r="F33" s="20">
        <v>304</v>
      </c>
      <c r="G33" s="20">
        <v>307</v>
      </c>
      <c r="H33" s="20">
        <f t="shared" si="3"/>
        <v>467</v>
      </c>
      <c r="I33" s="20">
        <v>89</v>
      </c>
      <c r="J33" s="20">
        <v>74</v>
      </c>
      <c r="K33" s="20">
        <v>94</v>
      </c>
      <c r="L33" s="20">
        <v>97</v>
      </c>
      <c r="M33" s="20">
        <v>113</v>
      </c>
    </row>
    <row r="34" spans="1:13" ht="12.75" customHeight="1" x14ac:dyDescent="0.2">
      <c r="A34" s="43" t="s">
        <v>43</v>
      </c>
      <c r="B34" s="20">
        <f t="shared" si="1"/>
        <v>418</v>
      </c>
      <c r="C34" s="20">
        <f t="shared" si="2"/>
        <v>270</v>
      </c>
      <c r="D34" s="20">
        <v>76</v>
      </c>
      <c r="E34" s="20">
        <v>56</v>
      </c>
      <c r="F34" s="20">
        <v>75</v>
      </c>
      <c r="G34" s="20">
        <v>63</v>
      </c>
      <c r="H34" s="20">
        <f t="shared" si="3"/>
        <v>148</v>
      </c>
      <c r="I34" s="20">
        <v>34</v>
      </c>
      <c r="J34" s="20">
        <v>21</v>
      </c>
      <c r="K34" s="20">
        <v>36</v>
      </c>
      <c r="L34" s="20">
        <v>35</v>
      </c>
      <c r="M34" s="20">
        <v>22</v>
      </c>
    </row>
    <row r="35" spans="1:13" ht="12.75" customHeight="1" x14ac:dyDescent="0.2">
      <c r="A35" s="43" t="s">
        <v>44</v>
      </c>
      <c r="B35" s="20">
        <f t="shared" si="1"/>
        <v>1740</v>
      </c>
      <c r="C35" s="20">
        <f t="shared" si="2"/>
        <v>1278</v>
      </c>
      <c r="D35" s="20">
        <v>321</v>
      </c>
      <c r="E35" s="20">
        <v>326</v>
      </c>
      <c r="F35" s="20">
        <v>307</v>
      </c>
      <c r="G35" s="20">
        <v>324</v>
      </c>
      <c r="H35" s="20">
        <f t="shared" si="3"/>
        <v>462</v>
      </c>
      <c r="I35" s="20">
        <v>83</v>
      </c>
      <c r="J35" s="20">
        <v>88</v>
      </c>
      <c r="K35" s="20">
        <v>103</v>
      </c>
      <c r="L35" s="20">
        <v>89</v>
      </c>
      <c r="M35" s="20">
        <v>99</v>
      </c>
    </row>
    <row r="36" spans="1:13" ht="12.75" customHeight="1" x14ac:dyDescent="0.2">
      <c r="A36" s="43" t="s">
        <v>45</v>
      </c>
      <c r="B36" s="20">
        <f t="shared" si="1"/>
        <v>1940</v>
      </c>
      <c r="C36" s="20">
        <f t="shared" si="2"/>
        <v>1329</v>
      </c>
      <c r="D36" s="20">
        <v>334</v>
      </c>
      <c r="E36" s="20">
        <v>338</v>
      </c>
      <c r="F36" s="20">
        <v>329</v>
      </c>
      <c r="G36" s="20">
        <v>328</v>
      </c>
      <c r="H36" s="20">
        <f t="shared" si="3"/>
        <v>611</v>
      </c>
      <c r="I36" s="20">
        <v>136</v>
      </c>
      <c r="J36" s="20">
        <v>109</v>
      </c>
      <c r="K36" s="20">
        <v>139</v>
      </c>
      <c r="L36" s="20">
        <v>132</v>
      </c>
      <c r="M36" s="20">
        <v>95</v>
      </c>
    </row>
    <row r="37" spans="1:13" ht="12.75" customHeight="1" x14ac:dyDescent="0.2">
      <c r="A37" s="44" t="s">
        <v>46</v>
      </c>
      <c r="B37" s="4">
        <f t="shared" ref="B37:M37" si="4">SUM(B19:B36)</f>
        <v>18800</v>
      </c>
      <c r="C37" s="4">
        <f t="shared" si="4"/>
        <v>13579</v>
      </c>
      <c r="D37" s="4">
        <f t="shared" si="4"/>
        <v>3464</v>
      </c>
      <c r="E37" s="4">
        <f t="shared" si="4"/>
        <v>3451</v>
      </c>
      <c r="F37" s="4">
        <f t="shared" si="4"/>
        <v>3312</v>
      </c>
      <c r="G37" s="4">
        <f t="shared" si="4"/>
        <v>3352</v>
      </c>
      <c r="H37" s="4">
        <f t="shared" si="4"/>
        <v>5221</v>
      </c>
      <c r="I37" s="4">
        <f t="shared" si="4"/>
        <v>1059</v>
      </c>
      <c r="J37" s="4">
        <f t="shared" si="4"/>
        <v>914</v>
      </c>
      <c r="K37" s="4">
        <f t="shared" si="4"/>
        <v>1059</v>
      </c>
      <c r="L37" s="4">
        <f t="shared" si="4"/>
        <v>1072</v>
      </c>
      <c r="M37" s="4">
        <f t="shared" si="4"/>
        <v>1117</v>
      </c>
    </row>
    <row r="38" spans="1:13" ht="12.75" customHeight="1" x14ac:dyDescent="0.2">
      <c r="A38" s="43"/>
    </row>
    <row r="39" spans="1:13" ht="12.75" customHeight="1" x14ac:dyDescent="0.2">
      <c r="A39" s="44" t="s">
        <v>47</v>
      </c>
      <c r="B39" s="4">
        <f t="shared" ref="B39:M39" si="5">B17+B37</f>
        <v>25514</v>
      </c>
      <c r="C39" s="4">
        <f t="shared" si="5"/>
        <v>18225</v>
      </c>
      <c r="D39" s="4">
        <f t="shared" si="5"/>
        <v>4642</v>
      </c>
      <c r="E39" s="4">
        <f t="shared" si="5"/>
        <v>4646</v>
      </c>
      <c r="F39" s="4">
        <f t="shared" si="5"/>
        <v>4462</v>
      </c>
      <c r="G39" s="4">
        <f t="shared" si="5"/>
        <v>4475</v>
      </c>
      <c r="H39" s="4">
        <f t="shared" si="5"/>
        <v>7289</v>
      </c>
      <c r="I39" s="4">
        <f t="shared" si="5"/>
        <v>1443</v>
      </c>
      <c r="J39" s="4">
        <f t="shared" si="5"/>
        <v>1291</v>
      </c>
      <c r="K39" s="4">
        <f t="shared" si="5"/>
        <v>1452</v>
      </c>
      <c r="L39" s="4">
        <f t="shared" si="5"/>
        <v>1466</v>
      </c>
      <c r="M39" s="4">
        <f t="shared" si="5"/>
        <v>1637</v>
      </c>
    </row>
    <row r="64" spans="1:1" ht="10.199999999999999" x14ac:dyDescent="0.2">
      <c r="A64" s="45"/>
    </row>
    <row r="65" ht="10.199999999999999" x14ac:dyDescent="0.2"/>
  </sheetData>
  <phoneticPr fontId="9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G2" sqref="G2"/>
    </sheetView>
  </sheetViews>
  <sheetFormatPr baseColWidth="10" defaultColWidth="8.42578125" defaultRowHeight="12.75" customHeight="1" x14ac:dyDescent="0.2"/>
  <cols>
    <col min="1" max="1" width="18.7109375" style="20" customWidth="1"/>
    <col min="2" max="3" width="8.140625" style="20" customWidth="1"/>
    <col min="4" max="7" width="7.7109375" style="20" customWidth="1"/>
    <col min="8" max="8" width="8.140625" style="20" customWidth="1"/>
    <col min="9" max="13" width="7.7109375" style="20" customWidth="1"/>
    <col min="14" max="16384" width="8.42578125" style="20"/>
  </cols>
  <sheetData>
    <row r="1" spans="1:13" ht="12.75" customHeight="1" x14ac:dyDescent="0.25">
      <c r="A1" s="1" t="s">
        <v>52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3" ht="12.75" customHeight="1" x14ac:dyDescent="0.25">
      <c r="A3" s="3" t="s">
        <v>54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2.75" customHeight="1" x14ac:dyDescent="0.25">
      <c r="A4" s="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2.7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2.75" customHeight="1" x14ac:dyDescent="0.2">
      <c r="A6" s="24"/>
      <c r="B6" s="25" t="s">
        <v>3</v>
      </c>
      <c r="C6" s="26" t="s">
        <v>4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2.75" customHeight="1" x14ac:dyDescent="0.2">
      <c r="A7" s="24"/>
      <c r="B7" s="25" t="s">
        <v>5</v>
      </c>
      <c r="C7" s="27" t="s">
        <v>3</v>
      </c>
      <c r="D7" s="22" t="s">
        <v>6</v>
      </c>
      <c r="E7" s="22"/>
      <c r="F7" s="22"/>
      <c r="G7" s="28"/>
      <c r="H7" s="25" t="s">
        <v>7</v>
      </c>
      <c r="I7" s="22" t="s">
        <v>6</v>
      </c>
      <c r="J7" s="22"/>
      <c r="K7" s="22"/>
      <c r="L7" s="22"/>
      <c r="M7" s="22"/>
    </row>
    <row r="8" spans="1:13" ht="12.75" customHeight="1" x14ac:dyDescent="0.2">
      <c r="A8" s="29" t="s">
        <v>8</v>
      </c>
      <c r="B8" s="25" t="s">
        <v>9</v>
      </c>
      <c r="C8" s="27" t="s">
        <v>10</v>
      </c>
      <c r="D8" s="30"/>
      <c r="E8" s="30"/>
      <c r="F8" s="30"/>
      <c r="G8" s="31"/>
      <c r="H8" s="27" t="s">
        <v>10</v>
      </c>
      <c r="I8" s="32"/>
      <c r="J8" s="32"/>
      <c r="K8" s="32"/>
      <c r="L8" s="32"/>
      <c r="M8" s="32"/>
    </row>
    <row r="9" spans="1:13" ht="12.75" customHeight="1" x14ac:dyDescent="0.2">
      <c r="A9" s="28"/>
      <c r="B9" s="27" t="s">
        <v>10</v>
      </c>
      <c r="C9" s="69" t="s">
        <v>86</v>
      </c>
      <c r="D9" s="33" t="s">
        <v>11</v>
      </c>
      <c r="E9" s="33"/>
      <c r="F9" s="33"/>
      <c r="G9" s="34"/>
      <c r="H9" s="69" t="s">
        <v>86</v>
      </c>
      <c r="I9" s="33" t="s">
        <v>11</v>
      </c>
      <c r="J9" s="33"/>
      <c r="K9" s="33"/>
      <c r="L9" s="33"/>
      <c r="M9" s="33"/>
    </row>
    <row r="10" spans="1:13" ht="12.75" customHeight="1" x14ac:dyDescent="0.2">
      <c r="A10" s="35"/>
      <c r="B10" s="36" t="s">
        <v>12</v>
      </c>
      <c r="C10" s="70" t="s">
        <v>87</v>
      </c>
      <c r="D10" s="37" t="s">
        <v>13</v>
      </c>
      <c r="E10" s="37" t="s">
        <v>14</v>
      </c>
      <c r="F10" s="37" t="s">
        <v>15</v>
      </c>
      <c r="G10" s="38" t="s">
        <v>16</v>
      </c>
      <c r="H10" s="70" t="s">
        <v>87</v>
      </c>
      <c r="I10" s="37" t="s">
        <v>17</v>
      </c>
      <c r="J10" s="37" t="s">
        <v>18</v>
      </c>
      <c r="K10" s="37" t="s">
        <v>19</v>
      </c>
      <c r="L10" s="37" t="s">
        <v>20</v>
      </c>
      <c r="M10" s="39" t="s">
        <v>21</v>
      </c>
    </row>
    <row r="11" spans="1:13" ht="12.75" customHeight="1" x14ac:dyDescent="0.2">
      <c r="A11" s="24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2.75" customHeight="1" x14ac:dyDescent="0.2">
      <c r="A12" s="29" t="s">
        <v>22</v>
      </c>
      <c r="B12" s="20">
        <f>C12+H12</f>
        <v>320</v>
      </c>
      <c r="C12" s="20">
        <f>SUM(D12:G12)</f>
        <v>320</v>
      </c>
      <c r="D12" s="20">
        <v>88</v>
      </c>
      <c r="E12" s="20">
        <v>70</v>
      </c>
      <c r="F12" s="20">
        <v>76</v>
      </c>
      <c r="G12" s="20">
        <v>86</v>
      </c>
      <c r="H12" s="20">
        <f>SUM(I12:M12)</f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3" ht="12.75" customHeight="1" x14ac:dyDescent="0.2">
      <c r="A13" s="29" t="s">
        <v>23</v>
      </c>
      <c r="B13" s="20">
        <f>C13+H13</f>
        <v>1158</v>
      </c>
      <c r="C13" s="20">
        <f>SUM(D13:G13)</f>
        <v>943</v>
      </c>
      <c r="D13" s="20">
        <v>239</v>
      </c>
      <c r="E13" s="20">
        <v>232</v>
      </c>
      <c r="F13" s="20">
        <v>243</v>
      </c>
      <c r="G13" s="20">
        <v>229</v>
      </c>
      <c r="H13" s="20">
        <f>SUM(I13:M13)</f>
        <v>215</v>
      </c>
      <c r="I13" s="20">
        <v>48</v>
      </c>
      <c r="J13" s="20">
        <v>38</v>
      </c>
      <c r="K13" s="20">
        <v>49</v>
      </c>
      <c r="L13" s="20">
        <v>45</v>
      </c>
      <c r="M13" s="20">
        <v>35</v>
      </c>
    </row>
    <row r="14" spans="1:13" ht="12.75" customHeight="1" x14ac:dyDescent="0.2">
      <c r="A14" s="29" t="s">
        <v>24</v>
      </c>
      <c r="B14" s="20">
        <f>C14+H14</f>
        <v>2140</v>
      </c>
      <c r="C14" s="20">
        <f>SUM(D14:G14)</f>
        <v>1492</v>
      </c>
      <c r="D14" s="20">
        <v>390</v>
      </c>
      <c r="E14" s="20">
        <v>370</v>
      </c>
      <c r="F14" s="20">
        <v>352</v>
      </c>
      <c r="G14" s="20">
        <v>380</v>
      </c>
      <c r="H14" s="20">
        <f>SUM(I14:M14)</f>
        <v>648</v>
      </c>
      <c r="I14" s="20">
        <v>137</v>
      </c>
      <c r="J14" s="20">
        <v>115</v>
      </c>
      <c r="K14" s="20">
        <v>131</v>
      </c>
      <c r="L14" s="20">
        <v>130</v>
      </c>
      <c r="M14" s="20">
        <f>117+18</f>
        <v>135</v>
      </c>
    </row>
    <row r="15" spans="1:13" ht="12.75" customHeight="1" x14ac:dyDescent="0.2">
      <c r="A15" s="29" t="s">
        <v>25</v>
      </c>
      <c r="B15" s="20">
        <f>C15+H15</f>
        <v>1664</v>
      </c>
      <c r="C15" s="20">
        <f>SUM(D15:G15)</f>
        <v>1066</v>
      </c>
      <c r="D15" s="20">
        <f>209+39</f>
        <v>248</v>
      </c>
      <c r="E15" s="20">
        <f>234+42</f>
        <v>276</v>
      </c>
      <c r="F15" s="20">
        <f>234+27</f>
        <v>261</v>
      </c>
      <c r="G15" s="20">
        <f>249+32</f>
        <v>281</v>
      </c>
      <c r="H15" s="20">
        <f>SUM(I15:M15)</f>
        <v>598</v>
      </c>
      <c r="I15" s="20">
        <v>107</v>
      </c>
      <c r="J15" s="20">
        <v>104</v>
      </c>
      <c r="K15" s="20">
        <v>126</v>
      </c>
      <c r="L15" s="20">
        <v>136</v>
      </c>
      <c r="M15" s="20">
        <f>98+27</f>
        <v>125</v>
      </c>
    </row>
    <row r="16" spans="1:13" ht="12.75" customHeight="1" x14ac:dyDescent="0.2">
      <c r="A16" s="29" t="s">
        <v>26</v>
      </c>
      <c r="B16" s="20">
        <f>C16+H16</f>
        <v>1509</v>
      </c>
      <c r="C16" s="20">
        <f>SUM(D16:G16)</f>
        <v>905</v>
      </c>
      <c r="D16" s="20">
        <v>215</v>
      </c>
      <c r="E16" s="20">
        <v>235</v>
      </c>
      <c r="F16" s="20">
        <v>234</v>
      </c>
      <c r="G16" s="20">
        <v>221</v>
      </c>
      <c r="H16" s="20">
        <f>SUM(I16:M16)</f>
        <v>604</v>
      </c>
      <c r="I16" s="20">
        <v>110</v>
      </c>
      <c r="J16" s="20">
        <v>111</v>
      </c>
      <c r="K16" s="20">
        <f>94+4</f>
        <v>98</v>
      </c>
      <c r="L16" s="20">
        <v>126</v>
      </c>
      <c r="M16" s="20">
        <f>114+24+21</f>
        <v>159</v>
      </c>
    </row>
    <row r="17" spans="1:13" ht="12.75" customHeight="1" x14ac:dyDescent="0.2">
      <c r="A17" s="41" t="s">
        <v>27</v>
      </c>
      <c r="B17" s="4">
        <f t="shared" ref="B17:M17" si="0">SUM(B12:B16)</f>
        <v>6791</v>
      </c>
      <c r="C17" s="4">
        <f t="shared" si="0"/>
        <v>4726</v>
      </c>
      <c r="D17" s="4">
        <f t="shared" si="0"/>
        <v>1180</v>
      </c>
      <c r="E17" s="4">
        <f t="shared" si="0"/>
        <v>1183</v>
      </c>
      <c r="F17" s="4">
        <f t="shared" si="0"/>
        <v>1166</v>
      </c>
      <c r="G17" s="4">
        <f t="shared" si="0"/>
        <v>1197</v>
      </c>
      <c r="H17" s="4">
        <f t="shared" si="0"/>
        <v>2065</v>
      </c>
      <c r="I17" s="4">
        <f t="shared" si="0"/>
        <v>402</v>
      </c>
      <c r="J17" s="4">
        <f t="shared" si="0"/>
        <v>368</v>
      </c>
      <c r="K17" s="4">
        <f t="shared" si="0"/>
        <v>404</v>
      </c>
      <c r="L17" s="4">
        <f t="shared" si="0"/>
        <v>437</v>
      </c>
      <c r="M17" s="4">
        <f t="shared" si="0"/>
        <v>454</v>
      </c>
    </row>
    <row r="18" spans="1:13" ht="12.75" customHeight="1" x14ac:dyDescent="0.2">
      <c r="A18" s="29"/>
    </row>
    <row r="19" spans="1:13" ht="12.75" customHeight="1" x14ac:dyDescent="0.2">
      <c r="A19" s="29" t="s">
        <v>28</v>
      </c>
      <c r="B19" s="20">
        <f t="shared" ref="B19:B36" si="1">C19+H19</f>
        <v>3260</v>
      </c>
      <c r="C19" s="20">
        <f t="shared" ref="C19:C36" si="2">SUM(D19:G19)</f>
        <v>2422</v>
      </c>
      <c r="D19" s="42">
        <f>613+34-54</f>
        <v>593</v>
      </c>
      <c r="E19" s="42">
        <f>629+34-49</f>
        <v>614</v>
      </c>
      <c r="F19" s="42">
        <f>626+35-64</f>
        <v>597</v>
      </c>
      <c r="G19" s="42">
        <f>633+41+5-61</f>
        <v>618</v>
      </c>
      <c r="H19" s="20">
        <f t="shared" ref="H19:H36" si="3">SUM(I19:M19)</f>
        <v>838</v>
      </c>
      <c r="I19" s="42">
        <f>187-39</f>
        <v>148</v>
      </c>
      <c r="J19" s="42">
        <f>231-46</f>
        <v>185</v>
      </c>
      <c r="K19" s="42">
        <f>197-40</f>
        <v>157</v>
      </c>
      <c r="L19" s="42">
        <f>206-39</f>
        <v>167</v>
      </c>
      <c r="M19" s="42">
        <f>180+40-39</f>
        <v>181</v>
      </c>
    </row>
    <row r="20" spans="1:13" ht="12.75" customHeight="1" x14ac:dyDescent="0.2">
      <c r="A20" s="29" t="s">
        <v>29</v>
      </c>
      <c r="B20" s="20">
        <f t="shared" si="1"/>
        <v>237</v>
      </c>
      <c r="C20" s="20">
        <f t="shared" si="2"/>
        <v>237</v>
      </c>
      <c r="D20" s="20">
        <v>66</v>
      </c>
      <c r="E20" s="20">
        <v>47</v>
      </c>
      <c r="F20" s="20">
        <v>60</v>
      </c>
      <c r="G20" s="20">
        <v>64</v>
      </c>
      <c r="H20" s="20">
        <f t="shared" si="3"/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3" ht="12.75" customHeight="1" x14ac:dyDescent="0.2">
      <c r="A21" s="29" t="s">
        <v>30</v>
      </c>
      <c r="B21" s="20">
        <f t="shared" si="1"/>
        <v>381</v>
      </c>
      <c r="C21" s="20">
        <f t="shared" si="2"/>
        <v>381</v>
      </c>
      <c r="D21" s="20">
        <v>97</v>
      </c>
      <c r="E21" s="20">
        <v>112</v>
      </c>
      <c r="F21" s="20">
        <v>87</v>
      </c>
      <c r="G21" s="20">
        <v>85</v>
      </c>
      <c r="H21" s="20">
        <f t="shared" si="3"/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1:13" ht="12.75" customHeight="1" x14ac:dyDescent="0.2">
      <c r="A22" s="29" t="s">
        <v>31</v>
      </c>
      <c r="B22" s="20">
        <f t="shared" si="1"/>
        <v>758</v>
      </c>
      <c r="C22" s="20">
        <f t="shared" si="2"/>
        <v>648</v>
      </c>
      <c r="D22" s="20">
        <v>176</v>
      </c>
      <c r="E22" s="20">
        <f>133+5</f>
        <v>138</v>
      </c>
      <c r="F22" s="20">
        <v>166</v>
      </c>
      <c r="G22" s="20">
        <v>168</v>
      </c>
      <c r="H22" s="20">
        <f t="shared" si="3"/>
        <v>110</v>
      </c>
      <c r="I22" s="20">
        <v>22</v>
      </c>
      <c r="J22" s="20">
        <v>23</v>
      </c>
      <c r="K22" s="20">
        <v>23</v>
      </c>
      <c r="L22" s="20">
        <v>19</v>
      </c>
      <c r="M22" s="20">
        <v>23</v>
      </c>
    </row>
    <row r="23" spans="1:13" ht="12.75" customHeight="1" x14ac:dyDescent="0.2">
      <c r="A23" s="29" t="s">
        <v>32</v>
      </c>
      <c r="B23" s="20">
        <f t="shared" si="1"/>
        <v>1297</v>
      </c>
      <c r="C23" s="20">
        <f t="shared" si="2"/>
        <v>895</v>
      </c>
      <c r="D23" s="20">
        <v>217</v>
      </c>
      <c r="E23" s="20">
        <v>222</v>
      </c>
      <c r="F23" s="20">
        <v>233</v>
      </c>
      <c r="G23" s="20">
        <v>223</v>
      </c>
      <c r="H23" s="20">
        <f t="shared" si="3"/>
        <v>402</v>
      </c>
      <c r="I23" s="20">
        <v>74</v>
      </c>
      <c r="J23" s="20">
        <v>67</v>
      </c>
      <c r="K23" s="20">
        <v>71</v>
      </c>
      <c r="L23" s="20">
        <v>72</v>
      </c>
      <c r="M23" s="20">
        <f>80+12+26</f>
        <v>118</v>
      </c>
    </row>
    <row r="24" spans="1:13" ht="12.75" customHeight="1" x14ac:dyDescent="0.2">
      <c r="A24" s="29" t="s">
        <v>33</v>
      </c>
      <c r="B24" s="20">
        <f t="shared" si="1"/>
        <v>570</v>
      </c>
      <c r="C24" s="20">
        <f t="shared" si="2"/>
        <v>326</v>
      </c>
      <c r="D24" s="20">
        <f>50+26</f>
        <v>76</v>
      </c>
      <c r="E24" s="20">
        <f>53+33</f>
        <v>86</v>
      </c>
      <c r="F24" s="20">
        <f>47+35</f>
        <v>82</v>
      </c>
      <c r="G24" s="20">
        <f>40+42</f>
        <v>82</v>
      </c>
      <c r="H24" s="20">
        <f t="shared" si="3"/>
        <v>244</v>
      </c>
      <c r="I24" s="20">
        <v>40</v>
      </c>
      <c r="J24" s="20">
        <v>35</v>
      </c>
      <c r="K24" s="20">
        <v>52</v>
      </c>
      <c r="L24" s="20">
        <v>51</v>
      </c>
      <c r="M24" s="20">
        <v>66</v>
      </c>
    </row>
    <row r="25" spans="1:13" ht="12.75" customHeight="1" x14ac:dyDescent="0.2">
      <c r="A25" s="43" t="s">
        <v>34</v>
      </c>
      <c r="B25" s="20">
        <f t="shared" si="1"/>
        <v>1064</v>
      </c>
      <c r="C25" s="20">
        <f t="shared" si="2"/>
        <v>749</v>
      </c>
      <c r="D25" s="20">
        <v>193</v>
      </c>
      <c r="E25" s="20">
        <v>179</v>
      </c>
      <c r="F25" s="20">
        <v>173</v>
      </c>
      <c r="G25" s="20">
        <v>204</v>
      </c>
      <c r="H25" s="20">
        <f t="shared" si="3"/>
        <v>315</v>
      </c>
      <c r="I25" s="20">
        <v>57</v>
      </c>
      <c r="J25" s="20">
        <v>59</v>
      </c>
      <c r="K25" s="20">
        <v>54</v>
      </c>
      <c r="L25" s="20">
        <v>63</v>
      </c>
      <c r="M25" s="20">
        <v>82</v>
      </c>
    </row>
    <row r="26" spans="1:13" ht="12.75" customHeight="1" x14ac:dyDescent="0.2">
      <c r="A26" s="43" t="s">
        <v>35</v>
      </c>
      <c r="B26" s="20">
        <f t="shared" si="1"/>
        <v>1606</v>
      </c>
      <c r="C26" s="20">
        <f t="shared" si="2"/>
        <v>918</v>
      </c>
      <c r="D26" s="20">
        <f>98+39+50</f>
        <v>187</v>
      </c>
      <c r="E26" s="20">
        <f>116+26+67</f>
        <v>209</v>
      </c>
      <c r="F26" s="20">
        <f>134+61+73</f>
        <v>268</v>
      </c>
      <c r="G26" s="20">
        <f>122+48+84</f>
        <v>254</v>
      </c>
      <c r="H26" s="20">
        <f t="shared" si="3"/>
        <v>688</v>
      </c>
      <c r="I26" s="20">
        <f>69+77</f>
        <v>146</v>
      </c>
      <c r="J26" s="20">
        <f>62+72</f>
        <v>134</v>
      </c>
      <c r="K26" s="20">
        <f>55+87</f>
        <v>142</v>
      </c>
      <c r="L26" s="20">
        <f>61+69</f>
        <v>130</v>
      </c>
      <c r="M26" s="20">
        <f>86+43+7</f>
        <v>136</v>
      </c>
    </row>
    <row r="27" spans="1:13" ht="12.75" customHeight="1" x14ac:dyDescent="0.2">
      <c r="A27" s="43" t="s">
        <v>36</v>
      </c>
      <c r="B27" s="20">
        <f t="shared" si="1"/>
        <v>431</v>
      </c>
      <c r="C27" s="20">
        <f t="shared" si="2"/>
        <v>228</v>
      </c>
      <c r="D27" s="42">
        <v>54</v>
      </c>
      <c r="E27" s="42">
        <v>49</v>
      </c>
      <c r="F27" s="42">
        <v>64</v>
      </c>
      <c r="G27" s="42">
        <v>61</v>
      </c>
      <c r="H27" s="20">
        <f t="shared" si="3"/>
        <v>203</v>
      </c>
      <c r="I27" s="42">
        <v>39</v>
      </c>
      <c r="J27" s="42">
        <v>46</v>
      </c>
      <c r="K27" s="42">
        <v>40</v>
      </c>
      <c r="L27" s="42">
        <v>39</v>
      </c>
      <c r="M27" s="42">
        <v>39</v>
      </c>
    </row>
    <row r="28" spans="1:13" ht="12.75" customHeight="1" x14ac:dyDescent="0.2">
      <c r="A28" s="43" t="s">
        <v>37</v>
      </c>
      <c r="B28" s="20">
        <f t="shared" si="1"/>
        <v>298</v>
      </c>
      <c r="C28" s="20">
        <f t="shared" si="2"/>
        <v>298</v>
      </c>
      <c r="D28" s="20">
        <f>51+33</f>
        <v>84</v>
      </c>
      <c r="E28" s="20">
        <f>45+34</f>
        <v>79</v>
      </c>
      <c r="F28" s="20">
        <f>19+46</f>
        <v>65</v>
      </c>
      <c r="G28" s="20">
        <f>27+43</f>
        <v>70</v>
      </c>
      <c r="H28" s="20">
        <f t="shared" si="3"/>
        <v>0</v>
      </c>
      <c r="I28" s="20">
        <f>SUM(J28:N28)</f>
        <v>0</v>
      </c>
      <c r="J28" s="20">
        <f>SUM(K28:O28)</f>
        <v>0</v>
      </c>
      <c r="K28" s="20">
        <f>SUM(L28:P28)</f>
        <v>0</v>
      </c>
      <c r="L28" s="20">
        <f>SUM(M28:Q28)</f>
        <v>0</v>
      </c>
      <c r="M28" s="20">
        <f>SUM(N28:R28)</f>
        <v>0</v>
      </c>
    </row>
    <row r="29" spans="1:13" ht="12.75" customHeight="1" x14ac:dyDescent="0.2">
      <c r="A29" s="43" t="s">
        <v>38</v>
      </c>
      <c r="B29" s="20">
        <f t="shared" si="1"/>
        <v>503</v>
      </c>
      <c r="C29" s="20">
        <f t="shared" si="2"/>
        <v>376</v>
      </c>
      <c r="D29" s="20">
        <v>89</v>
      </c>
      <c r="E29" s="20">
        <v>92</v>
      </c>
      <c r="F29" s="20">
        <v>112</v>
      </c>
      <c r="G29" s="20">
        <v>83</v>
      </c>
      <c r="H29" s="20">
        <f t="shared" si="3"/>
        <v>127</v>
      </c>
      <c r="I29" s="20">
        <v>29</v>
      </c>
      <c r="J29" s="20">
        <v>23</v>
      </c>
      <c r="K29" s="20">
        <v>31</v>
      </c>
      <c r="L29" s="20">
        <v>25</v>
      </c>
      <c r="M29" s="20">
        <v>19</v>
      </c>
    </row>
    <row r="30" spans="1:13" ht="12.75" customHeight="1" x14ac:dyDescent="0.2">
      <c r="A30" s="43" t="s">
        <v>39</v>
      </c>
      <c r="B30" s="20">
        <f t="shared" si="1"/>
        <v>1139</v>
      </c>
      <c r="C30" s="20">
        <f t="shared" si="2"/>
        <v>950</v>
      </c>
      <c r="D30" s="20">
        <v>247</v>
      </c>
      <c r="E30" s="20">
        <v>235</v>
      </c>
      <c r="F30" s="20">
        <v>234</v>
      </c>
      <c r="G30" s="20">
        <v>234</v>
      </c>
      <c r="H30" s="20">
        <f t="shared" si="3"/>
        <v>189</v>
      </c>
      <c r="I30" s="20">
        <v>37</v>
      </c>
      <c r="J30" s="20">
        <v>34</v>
      </c>
      <c r="K30" s="20">
        <v>41</v>
      </c>
      <c r="L30" s="20">
        <v>43</v>
      </c>
      <c r="M30" s="20">
        <v>34</v>
      </c>
    </row>
    <row r="31" spans="1:13" ht="12.75" customHeight="1" x14ac:dyDescent="0.2">
      <c r="A31" s="43" t="s">
        <v>40</v>
      </c>
      <c r="B31" s="20">
        <f t="shared" si="1"/>
        <v>757</v>
      </c>
      <c r="C31" s="20">
        <f t="shared" si="2"/>
        <v>539</v>
      </c>
      <c r="D31" s="20">
        <v>149</v>
      </c>
      <c r="E31" s="20">
        <v>106</v>
      </c>
      <c r="F31" s="20">
        <v>130</v>
      </c>
      <c r="G31" s="20">
        <v>154</v>
      </c>
      <c r="H31" s="20">
        <f t="shared" si="3"/>
        <v>218</v>
      </c>
      <c r="I31" s="20">
        <v>51</v>
      </c>
      <c r="J31" s="20">
        <v>42</v>
      </c>
      <c r="K31" s="20">
        <v>34</v>
      </c>
      <c r="L31" s="20">
        <v>47</v>
      </c>
      <c r="M31" s="20">
        <v>44</v>
      </c>
    </row>
    <row r="32" spans="1:13" ht="12.75" customHeight="1" x14ac:dyDescent="0.2">
      <c r="A32" s="43" t="s">
        <v>41</v>
      </c>
      <c r="B32" s="20">
        <f t="shared" si="1"/>
        <v>767</v>
      </c>
      <c r="C32" s="20">
        <f t="shared" si="2"/>
        <v>557</v>
      </c>
      <c r="D32" s="20">
        <f>69+63</f>
        <v>132</v>
      </c>
      <c r="E32" s="20">
        <f>74+73</f>
        <v>147</v>
      </c>
      <c r="F32" s="20">
        <f>72+71</f>
        <v>143</v>
      </c>
      <c r="G32" s="20">
        <f>64+71</f>
        <v>135</v>
      </c>
      <c r="H32" s="20">
        <f t="shared" si="3"/>
        <v>210</v>
      </c>
      <c r="I32" s="20">
        <v>38</v>
      </c>
      <c r="J32" s="20">
        <v>45</v>
      </c>
      <c r="K32" s="20">
        <v>36</v>
      </c>
      <c r="L32" s="20">
        <v>42</v>
      </c>
      <c r="M32" s="20">
        <v>49</v>
      </c>
    </row>
    <row r="33" spans="1:13" ht="12.75" customHeight="1" x14ac:dyDescent="0.2">
      <c r="A33" s="43" t="s">
        <v>42</v>
      </c>
      <c r="B33" s="20">
        <f t="shared" si="1"/>
        <v>1738</v>
      </c>
      <c r="C33" s="20">
        <f t="shared" si="2"/>
        <v>1244</v>
      </c>
      <c r="D33" s="20">
        <f>362-39</f>
        <v>323</v>
      </c>
      <c r="E33" s="20">
        <f>332-42</f>
        <v>290</v>
      </c>
      <c r="F33" s="20">
        <f>351-27</f>
        <v>324</v>
      </c>
      <c r="G33" s="20">
        <f>339-32</f>
        <v>307</v>
      </c>
      <c r="H33" s="20">
        <f t="shared" si="3"/>
        <v>494</v>
      </c>
      <c r="I33" s="20">
        <v>77</v>
      </c>
      <c r="J33" s="20">
        <v>99</v>
      </c>
      <c r="K33" s="20">
        <v>96</v>
      </c>
      <c r="L33" s="20">
        <v>91</v>
      </c>
      <c r="M33" s="20">
        <f>103+28</f>
        <v>131</v>
      </c>
    </row>
    <row r="34" spans="1:13" ht="12.75" customHeight="1" x14ac:dyDescent="0.2">
      <c r="A34" s="43" t="s">
        <v>43</v>
      </c>
      <c r="B34" s="20">
        <f t="shared" si="1"/>
        <v>411</v>
      </c>
      <c r="C34" s="20">
        <f t="shared" si="2"/>
        <v>285</v>
      </c>
      <c r="D34" s="20">
        <v>63</v>
      </c>
      <c r="E34" s="20">
        <v>76</v>
      </c>
      <c r="F34" s="20">
        <v>68</v>
      </c>
      <c r="G34" s="20">
        <v>78</v>
      </c>
      <c r="H34" s="20">
        <f t="shared" si="3"/>
        <v>126</v>
      </c>
      <c r="I34" s="20">
        <v>24</v>
      </c>
      <c r="J34" s="20">
        <v>34</v>
      </c>
      <c r="K34" s="20">
        <v>34</v>
      </c>
      <c r="L34" s="20">
        <v>19</v>
      </c>
      <c r="M34" s="20">
        <v>15</v>
      </c>
    </row>
    <row r="35" spans="1:13" ht="12.75" customHeight="1" x14ac:dyDescent="0.2">
      <c r="A35" s="43" t="s">
        <v>44</v>
      </c>
      <c r="B35" s="20">
        <f t="shared" si="1"/>
        <v>1768</v>
      </c>
      <c r="C35" s="20">
        <f t="shared" si="2"/>
        <v>1282</v>
      </c>
      <c r="D35" s="20">
        <v>323</v>
      </c>
      <c r="E35" s="20">
        <v>308</v>
      </c>
      <c r="F35" s="20">
        <v>342</v>
      </c>
      <c r="G35" s="20">
        <v>309</v>
      </c>
      <c r="H35" s="20">
        <f t="shared" si="3"/>
        <v>486</v>
      </c>
      <c r="I35" s="20">
        <v>95</v>
      </c>
      <c r="J35" s="20">
        <v>102</v>
      </c>
      <c r="K35" s="20">
        <v>85</v>
      </c>
      <c r="L35" s="20">
        <v>103</v>
      </c>
      <c r="M35" s="20">
        <v>101</v>
      </c>
    </row>
    <row r="36" spans="1:13" ht="12.75" customHeight="1" x14ac:dyDescent="0.2">
      <c r="A36" s="43" t="s">
        <v>45</v>
      </c>
      <c r="B36" s="20">
        <f t="shared" si="1"/>
        <v>1900</v>
      </c>
      <c r="C36" s="20">
        <f t="shared" si="2"/>
        <v>1292</v>
      </c>
      <c r="D36" s="20">
        <v>312</v>
      </c>
      <c r="E36" s="20">
        <v>315</v>
      </c>
      <c r="F36" s="20">
        <v>331</v>
      </c>
      <c r="G36" s="20">
        <v>334</v>
      </c>
      <c r="H36" s="20">
        <f t="shared" si="3"/>
        <v>608</v>
      </c>
      <c r="I36" s="20">
        <v>112</v>
      </c>
      <c r="J36" s="20">
        <v>132</v>
      </c>
      <c r="K36" s="20">
        <v>133</v>
      </c>
      <c r="L36" s="20">
        <v>103</v>
      </c>
      <c r="M36" s="20">
        <v>128</v>
      </c>
    </row>
    <row r="37" spans="1:13" ht="12.75" customHeight="1" x14ac:dyDescent="0.2">
      <c r="A37" s="44" t="s">
        <v>46</v>
      </c>
      <c r="B37" s="4">
        <f t="shared" ref="B37:M37" si="4">SUM(B19:B36)</f>
        <v>18885</v>
      </c>
      <c r="C37" s="4">
        <f t="shared" si="4"/>
        <v>13627</v>
      </c>
      <c r="D37" s="4">
        <f t="shared" si="4"/>
        <v>3381</v>
      </c>
      <c r="E37" s="4">
        <f t="shared" si="4"/>
        <v>3304</v>
      </c>
      <c r="F37" s="4">
        <f t="shared" si="4"/>
        <v>3479</v>
      </c>
      <c r="G37" s="4">
        <f t="shared" si="4"/>
        <v>3463</v>
      </c>
      <c r="H37" s="4">
        <f t="shared" si="4"/>
        <v>5258</v>
      </c>
      <c r="I37" s="4">
        <f t="shared" si="4"/>
        <v>989</v>
      </c>
      <c r="J37" s="4">
        <f t="shared" si="4"/>
        <v>1060</v>
      </c>
      <c r="K37" s="4">
        <f t="shared" si="4"/>
        <v>1029</v>
      </c>
      <c r="L37" s="4">
        <f t="shared" si="4"/>
        <v>1014</v>
      </c>
      <c r="M37" s="4">
        <f t="shared" si="4"/>
        <v>1166</v>
      </c>
    </row>
    <row r="38" spans="1:13" ht="12.75" customHeight="1" x14ac:dyDescent="0.2">
      <c r="A38" s="43"/>
    </row>
    <row r="39" spans="1:13" ht="12.75" customHeight="1" x14ac:dyDescent="0.2">
      <c r="A39" s="44" t="s">
        <v>47</v>
      </c>
      <c r="B39" s="4">
        <f t="shared" ref="B39:M39" si="5">B17+B37</f>
        <v>25676</v>
      </c>
      <c r="C39" s="4">
        <f t="shared" si="5"/>
        <v>18353</v>
      </c>
      <c r="D39" s="4">
        <f t="shared" si="5"/>
        <v>4561</v>
      </c>
      <c r="E39" s="4">
        <f t="shared" si="5"/>
        <v>4487</v>
      </c>
      <c r="F39" s="4">
        <f t="shared" si="5"/>
        <v>4645</v>
      </c>
      <c r="G39" s="4">
        <f t="shared" si="5"/>
        <v>4660</v>
      </c>
      <c r="H39" s="4">
        <f t="shared" si="5"/>
        <v>7323</v>
      </c>
      <c r="I39" s="4">
        <f t="shared" si="5"/>
        <v>1391</v>
      </c>
      <c r="J39" s="4">
        <f t="shared" si="5"/>
        <v>1428</v>
      </c>
      <c r="K39" s="4">
        <f t="shared" si="5"/>
        <v>1433</v>
      </c>
      <c r="L39" s="4">
        <f t="shared" si="5"/>
        <v>1451</v>
      </c>
      <c r="M39" s="4">
        <f t="shared" si="5"/>
        <v>1620</v>
      </c>
    </row>
    <row r="64" spans="1:1" ht="10.199999999999999" x14ac:dyDescent="0.2">
      <c r="A64" s="45"/>
    </row>
    <row r="65" ht="10.199999999999999" x14ac:dyDescent="0.2"/>
  </sheetData>
  <phoneticPr fontId="9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G5" sqref="G5"/>
    </sheetView>
  </sheetViews>
  <sheetFormatPr baseColWidth="10" defaultColWidth="8.42578125" defaultRowHeight="12.75" customHeight="1" x14ac:dyDescent="0.2"/>
  <cols>
    <col min="1" max="1" width="18.7109375" style="20" customWidth="1"/>
    <col min="2" max="3" width="8.140625" style="20" customWidth="1"/>
    <col min="4" max="7" width="7.7109375" style="20" customWidth="1"/>
    <col min="8" max="8" width="8.140625" style="20" customWidth="1"/>
    <col min="9" max="13" width="7.7109375" style="20" customWidth="1"/>
    <col min="14" max="16384" width="8.42578125" style="20"/>
  </cols>
  <sheetData>
    <row r="1" spans="1:13" ht="12.75" customHeight="1" x14ac:dyDescent="0.25">
      <c r="A1" s="1" t="s">
        <v>52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3" ht="12.75" customHeight="1" x14ac:dyDescent="0.25">
      <c r="A3" s="3" t="s">
        <v>53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2.75" customHeight="1" x14ac:dyDescent="0.25">
      <c r="A4" s="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2.7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2.75" customHeight="1" x14ac:dyDescent="0.2">
      <c r="A6" s="24"/>
      <c r="B6" s="25" t="s">
        <v>3</v>
      </c>
      <c r="C6" s="26" t="s">
        <v>4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2.75" customHeight="1" x14ac:dyDescent="0.2">
      <c r="A7" s="24"/>
      <c r="B7" s="25" t="s">
        <v>5</v>
      </c>
      <c r="C7" s="27" t="s">
        <v>3</v>
      </c>
      <c r="D7" s="22" t="s">
        <v>6</v>
      </c>
      <c r="E7" s="22"/>
      <c r="F7" s="22"/>
      <c r="G7" s="28"/>
      <c r="H7" s="25" t="s">
        <v>7</v>
      </c>
      <c r="I7" s="22" t="s">
        <v>6</v>
      </c>
      <c r="J7" s="22"/>
      <c r="K7" s="22"/>
      <c r="L7" s="22"/>
      <c r="M7" s="22"/>
    </row>
    <row r="8" spans="1:13" ht="12.75" customHeight="1" x14ac:dyDescent="0.2">
      <c r="A8" s="29" t="s">
        <v>8</v>
      </c>
      <c r="B8" s="25" t="s">
        <v>9</v>
      </c>
      <c r="C8" s="27" t="s">
        <v>10</v>
      </c>
      <c r="D8" s="30"/>
      <c r="E8" s="30"/>
      <c r="F8" s="30"/>
      <c r="G8" s="31"/>
      <c r="H8" s="27" t="s">
        <v>10</v>
      </c>
      <c r="I8" s="32"/>
      <c r="J8" s="32"/>
      <c r="K8" s="32"/>
      <c r="L8" s="32"/>
      <c r="M8" s="32"/>
    </row>
    <row r="9" spans="1:13" ht="12.75" customHeight="1" x14ac:dyDescent="0.2">
      <c r="A9" s="28"/>
      <c r="B9" s="27" t="s">
        <v>10</v>
      </c>
      <c r="C9" s="69" t="s">
        <v>86</v>
      </c>
      <c r="D9" s="33" t="s">
        <v>11</v>
      </c>
      <c r="E9" s="33"/>
      <c r="F9" s="33"/>
      <c r="G9" s="34"/>
      <c r="H9" s="69" t="s">
        <v>86</v>
      </c>
      <c r="I9" s="33" t="s">
        <v>11</v>
      </c>
      <c r="J9" s="33"/>
      <c r="K9" s="33"/>
      <c r="L9" s="33"/>
      <c r="M9" s="33"/>
    </row>
    <row r="10" spans="1:13" ht="12.75" customHeight="1" x14ac:dyDescent="0.2">
      <c r="A10" s="35"/>
      <c r="B10" s="36" t="s">
        <v>12</v>
      </c>
      <c r="C10" s="70" t="s">
        <v>87</v>
      </c>
      <c r="D10" s="37" t="s">
        <v>13</v>
      </c>
      <c r="E10" s="37" t="s">
        <v>14</v>
      </c>
      <c r="F10" s="37" t="s">
        <v>15</v>
      </c>
      <c r="G10" s="38" t="s">
        <v>16</v>
      </c>
      <c r="H10" s="70" t="s">
        <v>87</v>
      </c>
      <c r="I10" s="37" t="s">
        <v>17</v>
      </c>
      <c r="J10" s="37" t="s">
        <v>18</v>
      </c>
      <c r="K10" s="37" t="s">
        <v>19</v>
      </c>
      <c r="L10" s="37" t="s">
        <v>20</v>
      </c>
      <c r="M10" s="39" t="s">
        <v>21</v>
      </c>
    </row>
    <row r="11" spans="1:13" ht="12.75" customHeight="1" x14ac:dyDescent="0.2">
      <c r="A11" s="24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2.75" customHeight="1" x14ac:dyDescent="0.2">
      <c r="A12" s="29" t="s">
        <v>22</v>
      </c>
      <c r="B12" s="20">
        <f>C12+H12</f>
        <v>305</v>
      </c>
      <c r="C12" s="20">
        <f>SUM(D12:G12)</f>
        <v>305</v>
      </c>
      <c r="D12" s="20">
        <v>68</v>
      </c>
      <c r="E12" s="20">
        <v>79</v>
      </c>
      <c r="F12" s="20">
        <v>86</v>
      </c>
      <c r="G12" s="20">
        <v>72</v>
      </c>
      <c r="H12" s="20">
        <f>SUM(I12:M12)</f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3" ht="12.75" customHeight="1" x14ac:dyDescent="0.2">
      <c r="A13" s="29" t="s">
        <v>23</v>
      </c>
      <c r="B13" s="20">
        <f>C13+H13</f>
        <v>1168</v>
      </c>
      <c r="C13" s="20">
        <f>SUM(D13:G13)</f>
        <v>969</v>
      </c>
      <c r="D13" s="20">
        <v>230</v>
      </c>
      <c r="E13" s="20">
        <v>254</v>
      </c>
      <c r="F13" s="20">
        <v>236</v>
      </c>
      <c r="G13" s="20">
        <v>249</v>
      </c>
      <c r="H13" s="20">
        <f>SUM(I13:M13)</f>
        <v>199</v>
      </c>
      <c r="I13" s="20">
        <v>40</v>
      </c>
      <c r="J13" s="20">
        <v>44</v>
      </c>
      <c r="K13" s="20">
        <v>44</v>
      </c>
      <c r="L13" s="20">
        <v>39</v>
      </c>
      <c r="M13" s="20">
        <v>32</v>
      </c>
    </row>
    <row r="14" spans="1:13" ht="12.75" customHeight="1" x14ac:dyDescent="0.2">
      <c r="A14" s="29" t="s">
        <v>24</v>
      </c>
      <c r="B14" s="20">
        <f>C14+H14</f>
        <v>2141</v>
      </c>
      <c r="C14" s="20">
        <f>SUM(D14:G14)</f>
        <v>1484</v>
      </c>
      <c r="D14" s="20">
        <v>362</v>
      </c>
      <c r="E14" s="20">
        <v>353</v>
      </c>
      <c r="F14" s="20">
        <v>401</v>
      </c>
      <c r="G14" s="20">
        <v>368</v>
      </c>
      <c r="H14" s="20">
        <f>SUM(I14:M14)</f>
        <v>657</v>
      </c>
      <c r="I14" s="20">
        <v>130</v>
      </c>
      <c r="J14" s="20">
        <v>134</v>
      </c>
      <c r="K14" s="20">
        <v>129</v>
      </c>
      <c r="L14" s="20">
        <v>132</v>
      </c>
      <c r="M14" s="20">
        <v>132</v>
      </c>
    </row>
    <row r="15" spans="1:13" ht="12.75" customHeight="1" x14ac:dyDescent="0.2">
      <c r="A15" s="29" t="s">
        <v>25</v>
      </c>
      <c r="B15" s="20">
        <f>C15+H15</f>
        <v>1685</v>
      </c>
      <c r="C15" s="20">
        <f>SUM(D15:G15)</f>
        <v>1076</v>
      </c>
      <c r="D15" s="20">
        <f>218+38</f>
        <v>256</v>
      </c>
      <c r="E15" s="20">
        <f>240+32</f>
        <v>272</v>
      </c>
      <c r="F15" s="20">
        <f>257+32</f>
        <v>289</v>
      </c>
      <c r="G15" s="20">
        <f>221+38</f>
        <v>259</v>
      </c>
      <c r="H15" s="20">
        <f>SUM(I15:M15)</f>
        <v>609</v>
      </c>
      <c r="I15" s="20">
        <v>116</v>
      </c>
      <c r="J15" s="20">
        <v>121</v>
      </c>
      <c r="K15" s="20">
        <v>125</v>
      </c>
      <c r="L15" s="20">
        <v>103</v>
      </c>
      <c r="M15" s="20">
        <f>119+25</f>
        <v>144</v>
      </c>
    </row>
    <row r="16" spans="1:13" ht="12.75" customHeight="1" x14ac:dyDescent="0.2">
      <c r="A16" s="29" t="s">
        <v>26</v>
      </c>
      <c r="B16" s="20">
        <f>C16+H16</f>
        <v>1564</v>
      </c>
      <c r="C16" s="20">
        <f>SUM(D16:G16)</f>
        <v>950</v>
      </c>
      <c r="D16" s="20">
        <v>242</v>
      </c>
      <c r="E16" s="20">
        <v>231</v>
      </c>
      <c r="F16" s="20">
        <v>235</v>
      </c>
      <c r="G16" s="20">
        <v>242</v>
      </c>
      <c r="H16" s="20">
        <f>SUM(I16:M16)</f>
        <v>614</v>
      </c>
      <c r="I16" s="20">
        <v>125</v>
      </c>
      <c r="J16" s="20">
        <v>101</v>
      </c>
      <c r="K16" s="20">
        <v>125</v>
      </c>
      <c r="L16" s="20">
        <v>116</v>
      </c>
      <c r="M16" s="20">
        <f>135+12</f>
        <v>147</v>
      </c>
    </row>
    <row r="17" spans="1:13" ht="12.75" customHeight="1" x14ac:dyDescent="0.2">
      <c r="A17" s="41" t="s">
        <v>27</v>
      </c>
      <c r="B17" s="20">
        <f t="shared" ref="B17:M17" si="0">SUM(B12:B16)</f>
        <v>6863</v>
      </c>
      <c r="C17" s="20">
        <f t="shared" si="0"/>
        <v>4784</v>
      </c>
      <c r="D17" s="20">
        <f t="shared" si="0"/>
        <v>1158</v>
      </c>
      <c r="E17" s="20">
        <f t="shared" si="0"/>
        <v>1189</v>
      </c>
      <c r="F17" s="20">
        <f t="shared" si="0"/>
        <v>1247</v>
      </c>
      <c r="G17" s="20">
        <f t="shared" si="0"/>
        <v>1190</v>
      </c>
      <c r="H17" s="20">
        <f t="shared" si="0"/>
        <v>2079</v>
      </c>
      <c r="I17" s="20">
        <f t="shared" si="0"/>
        <v>411</v>
      </c>
      <c r="J17" s="20">
        <f t="shared" si="0"/>
        <v>400</v>
      </c>
      <c r="K17" s="20">
        <f t="shared" si="0"/>
        <v>423</v>
      </c>
      <c r="L17" s="20">
        <f t="shared" si="0"/>
        <v>390</v>
      </c>
      <c r="M17" s="20">
        <f t="shared" si="0"/>
        <v>455</v>
      </c>
    </row>
    <row r="18" spans="1:13" ht="12.75" customHeight="1" x14ac:dyDescent="0.2">
      <c r="A18" s="29"/>
    </row>
    <row r="19" spans="1:13" ht="12.75" customHeight="1" x14ac:dyDescent="0.2">
      <c r="A19" s="29" t="s">
        <v>28</v>
      </c>
      <c r="B19" s="20">
        <f t="shared" ref="B19:B36" si="1">C19+H19</f>
        <v>3298</v>
      </c>
      <c r="C19" s="20">
        <f t="shared" ref="C19:C36" si="2">SUM(D19:G19)</f>
        <v>2431</v>
      </c>
      <c r="D19" s="42">
        <v>590</v>
      </c>
      <c r="E19" s="42">
        <v>637</v>
      </c>
      <c r="F19" s="42">
        <v>661</v>
      </c>
      <c r="G19" s="42">
        <v>543</v>
      </c>
      <c r="H19" s="20">
        <f t="shared" ref="H19:H36" si="3">SUM(I19:M19)</f>
        <v>867</v>
      </c>
      <c r="I19" s="42">
        <f>242-56</f>
        <v>186</v>
      </c>
      <c r="J19" s="42">
        <f>202-44</f>
        <v>158</v>
      </c>
      <c r="K19" s="42">
        <f>222-47</f>
        <v>175</v>
      </c>
      <c r="L19" s="42">
        <f>193-36</f>
        <v>157</v>
      </c>
      <c r="M19" s="42">
        <f>225-34</f>
        <v>191</v>
      </c>
    </row>
    <row r="20" spans="1:13" ht="12.75" customHeight="1" x14ac:dyDescent="0.2">
      <c r="A20" s="29" t="s">
        <v>29</v>
      </c>
      <c r="B20" s="20">
        <f t="shared" si="1"/>
        <v>240</v>
      </c>
      <c r="C20" s="20">
        <f t="shared" si="2"/>
        <v>240</v>
      </c>
      <c r="D20" s="20">
        <v>47</v>
      </c>
      <c r="E20" s="20">
        <v>68</v>
      </c>
      <c r="F20" s="20">
        <v>63</v>
      </c>
      <c r="G20" s="20">
        <v>62</v>
      </c>
      <c r="H20" s="20">
        <f t="shared" si="3"/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3" ht="12.75" customHeight="1" x14ac:dyDescent="0.2">
      <c r="A21" s="29" t="s">
        <v>30</v>
      </c>
      <c r="B21" s="20">
        <f t="shared" si="1"/>
        <v>387</v>
      </c>
      <c r="C21" s="20">
        <f t="shared" si="2"/>
        <v>387</v>
      </c>
      <c r="D21" s="20">
        <v>118</v>
      </c>
      <c r="E21" s="20">
        <v>85</v>
      </c>
      <c r="F21" s="20">
        <v>90</v>
      </c>
      <c r="G21" s="20">
        <v>94</v>
      </c>
      <c r="H21" s="20">
        <f t="shared" si="3"/>
        <v>0</v>
      </c>
    </row>
    <row r="22" spans="1:13" ht="12.75" customHeight="1" x14ac:dyDescent="0.2">
      <c r="A22" s="29" t="s">
        <v>31</v>
      </c>
      <c r="B22" s="20">
        <f t="shared" si="1"/>
        <v>745</v>
      </c>
      <c r="C22" s="20">
        <f t="shared" si="2"/>
        <v>629</v>
      </c>
      <c r="D22" s="20">
        <v>136</v>
      </c>
      <c r="E22" s="20">
        <v>163</v>
      </c>
      <c r="F22" s="20">
        <v>172</v>
      </c>
      <c r="G22" s="20">
        <v>158</v>
      </c>
      <c r="H22" s="20">
        <f t="shared" si="3"/>
        <v>116</v>
      </c>
      <c r="I22" s="20">
        <v>32</v>
      </c>
      <c r="J22" s="20">
        <v>18</v>
      </c>
      <c r="K22" s="20">
        <v>20</v>
      </c>
      <c r="L22" s="20">
        <v>23</v>
      </c>
      <c r="M22" s="20">
        <v>23</v>
      </c>
    </row>
    <row r="23" spans="1:13" ht="12.75" customHeight="1" x14ac:dyDescent="0.2">
      <c r="A23" s="29" t="s">
        <v>32</v>
      </c>
      <c r="B23" s="20">
        <f t="shared" si="1"/>
        <v>1325</v>
      </c>
      <c r="C23" s="20">
        <f t="shared" si="2"/>
        <v>907</v>
      </c>
      <c r="D23" s="20">
        <v>219</v>
      </c>
      <c r="E23" s="20">
        <v>235</v>
      </c>
      <c r="F23" s="20">
        <v>241</v>
      </c>
      <c r="G23" s="20">
        <v>212</v>
      </c>
      <c r="H23" s="20">
        <f t="shared" si="3"/>
        <v>418</v>
      </c>
      <c r="I23" s="20">
        <v>68</v>
      </c>
      <c r="J23" s="20">
        <v>74</v>
      </c>
      <c r="K23" s="20">
        <v>76</v>
      </c>
      <c r="L23" s="20">
        <v>87</v>
      </c>
      <c r="M23" s="20">
        <f>21+11+81</f>
        <v>113</v>
      </c>
    </row>
    <row r="24" spans="1:13" ht="12.75" customHeight="1" x14ac:dyDescent="0.2">
      <c r="A24" s="29" t="s">
        <v>33</v>
      </c>
      <c r="B24" s="20">
        <f t="shared" si="1"/>
        <v>580</v>
      </c>
      <c r="C24" s="20">
        <f t="shared" si="2"/>
        <v>338</v>
      </c>
      <c r="D24" s="20">
        <f>55+30</f>
        <v>85</v>
      </c>
      <c r="E24" s="20">
        <f>46+32</f>
        <v>78</v>
      </c>
      <c r="F24" s="20">
        <f>43+43</f>
        <v>86</v>
      </c>
      <c r="G24" s="20">
        <f>57+32</f>
        <v>89</v>
      </c>
      <c r="H24" s="20">
        <f t="shared" si="3"/>
        <v>242</v>
      </c>
      <c r="I24" s="20">
        <v>41</v>
      </c>
      <c r="J24" s="20">
        <v>47</v>
      </c>
      <c r="K24" s="20">
        <v>54</v>
      </c>
      <c r="L24" s="20">
        <v>38</v>
      </c>
      <c r="M24" s="20">
        <f>38+24</f>
        <v>62</v>
      </c>
    </row>
    <row r="25" spans="1:13" ht="12.75" customHeight="1" x14ac:dyDescent="0.2">
      <c r="A25" s="43" t="s">
        <v>34</v>
      </c>
      <c r="B25" s="20">
        <f t="shared" si="1"/>
        <v>1062</v>
      </c>
      <c r="C25" s="20">
        <f t="shared" si="2"/>
        <v>759</v>
      </c>
      <c r="D25" s="20">
        <v>175</v>
      </c>
      <c r="E25" s="20">
        <v>176</v>
      </c>
      <c r="F25" s="20">
        <v>203</v>
      </c>
      <c r="G25" s="20">
        <v>205</v>
      </c>
      <c r="H25" s="20">
        <f t="shared" si="3"/>
        <v>303</v>
      </c>
      <c r="I25" s="20">
        <v>63</v>
      </c>
      <c r="J25" s="20">
        <v>54</v>
      </c>
      <c r="K25" s="20">
        <v>58</v>
      </c>
      <c r="L25" s="20">
        <v>75</v>
      </c>
      <c r="M25" s="20">
        <v>53</v>
      </c>
    </row>
    <row r="26" spans="1:13" ht="12.75" customHeight="1" x14ac:dyDescent="0.2">
      <c r="A26" s="43" t="s">
        <v>35</v>
      </c>
      <c r="B26" s="20">
        <f t="shared" si="1"/>
        <v>1668</v>
      </c>
      <c r="C26" s="20">
        <f t="shared" si="2"/>
        <v>1007</v>
      </c>
      <c r="D26" s="20">
        <f>113+27+66</f>
        <v>206</v>
      </c>
      <c r="E26" s="20">
        <f>132+52+77</f>
        <v>261</v>
      </c>
      <c r="F26" s="20">
        <f>121+52+85</f>
        <v>258</v>
      </c>
      <c r="G26" s="20">
        <f>123+65+94</f>
        <v>282</v>
      </c>
      <c r="H26" s="20">
        <f t="shared" si="3"/>
        <v>661</v>
      </c>
      <c r="I26" s="20">
        <f>65+69</f>
        <v>134</v>
      </c>
      <c r="J26" s="20">
        <f>60+82</f>
        <v>142</v>
      </c>
      <c r="K26" s="20">
        <f>58+77</f>
        <v>135</v>
      </c>
      <c r="L26" s="20">
        <f>74+41+9</f>
        <v>124</v>
      </c>
      <c r="M26" s="20">
        <f>70+56</f>
        <v>126</v>
      </c>
    </row>
    <row r="27" spans="1:13" ht="12.75" customHeight="1" x14ac:dyDescent="0.2">
      <c r="A27" s="43" t="s">
        <v>36</v>
      </c>
      <c r="B27" s="20">
        <f t="shared" si="1"/>
        <v>462</v>
      </c>
      <c r="C27" s="20">
        <f t="shared" si="2"/>
        <v>245</v>
      </c>
      <c r="D27" s="42">
        <v>49</v>
      </c>
      <c r="E27" s="42">
        <v>69</v>
      </c>
      <c r="F27" s="42">
        <v>62</v>
      </c>
      <c r="G27" s="42">
        <v>65</v>
      </c>
      <c r="H27" s="20">
        <f t="shared" si="3"/>
        <v>217</v>
      </c>
      <c r="I27" s="42">
        <v>56</v>
      </c>
      <c r="J27" s="42">
        <v>44</v>
      </c>
      <c r="K27" s="42">
        <v>47</v>
      </c>
      <c r="L27" s="42">
        <v>36</v>
      </c>
      <c r="M27" s="42">
        <v>34</v>
      </c>
    </row>
    <row r="28" spans="1:13" ht="12.75" customHeight="1" x14ac:dyDescent="0.2">
      <c r="A28" s="43" t="s">
        <v>37</v>
      </c>
      <c r="B28" s="20">
        <f t="shared" si="1"/>
        <v>282</v>
      </c>
      <c r="C28" s="20">
        <f t="shared" si="2"/>
        <v>282</v>
      </c>
      <c r="D28" s="20">
        <f>47+33</f>
        <v>80</v>
      </c>
      <c r="E28" s="20">
        <f>45+19</f>
        <v>64</v>
      </c>
      <c r="F28" s="20">
        <f>47+29</f>
        <v>76</v>
      </c>
      <c r="G28" s="20">
        <f>36+26</f>
        <v>62</v>
      </c>
      <c r="H28" s="20">
        <f t="shared" si="3"/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1:13" ht="12.75" customHeight="1" x14ac:dyDescent="0.2">
      <c r="A29" s="43" t="s">
        <v>38</v>
      </c>
      <c r="B29" s="20">
        <f t="shared" si="1"/>
        <v>502</v>
      </c>
      <c r="C29" s="20">
        <f t="shared" si="2"/>
        <v>366</v>
      </c>
      <c r="D29" s="20">
        <v>92</v>
      </c>
      <c r="E29" s="20">
        <v>115</v>
      </c>
      <c r="F29" s="20">
        <v>89</v>
      </c>
      <c r="G29" s="20">
        <v>70</v>
      </c>
      <c r="H29" s="20">
        <f t="shared" si="3"/>
        <v>136</v>
      </c>
      <c r="I29" s="20">
        <v>29</v>
      </c>
      <c r="J29" s="20">
        <v>34</v>
      </c>
      <c r="K29" s="20">
        <v>23</v>
      </c>
      <c r="L29" s="20">
        <v>19</v>
      </c>
      <c r="M29" s="20">
        <v>31</v>
      </c>
    </row>
    <row r="30" spans="1:13" ht="12.75" customHeight="1" x14ac:dyDescent="0.2">
      <c r="A30" s="43" t="s">
        <v>39</v>
      </c>
      <c r="B30" s="20">
        <f t="shared" si="1"/>
        <v>1101</v>
      </c>
      <c r="C30" s="20">
        <f t="shared" si="2"/>
        <v>909</v>
      </c>
      <c r="D30" s="20">
        <v>238</v>
      </c>
      <c r="E30" s="20">
        <v>231</v>
      </c>
      <c r="F30" s="20">
        <v>239</v>
      </c>
      <c r="G30" s="20">
        <v>201</v>
      </c>
      <c r="H30" s="20">
        <f t="shared" si="3"/>
        <v>192</v>
      </c>
      <c r="I30" s="20">
        <v>41</v>
      </c>
      <c r="J30" s="20">
        <v>43</v>
      </c>
      <c r="K30" s="20">
        <v>42</v>
      </c>
      <c r="L30" s="20">
        <v>33</v>
      </c>
      <c r="M30" s="20">
        <v>33</v>
      </c>
    </row>
    <row r="31" spans="1:13" ht="12.75" customHeight="1" x14ac:dyDescent="0.2">
      <c r="A31" s="43" t="s">
        <v>40</v>
      </c>
      <c r="B31" s="20">
        <f t="shared" si="1"/>
        <v>755</v>
      </c>
      <c r="C31" s="20">
        <f t="shared" si="2"/>
        <v>529</v>
      </c>
      <c r="D31" s="20">
        <v>106</v>
      </c>
      <c r="E31" s="20">
        <v>137</v>
      </c>
      <c r="F31" s="20">
        <v>154</v>
      </c>
      <c r="G31" s="20">
        <v>132</v>
      </c>
      <c r="H31" s="20">
        <f t="shared" si="3"/>
        <v>226</v>
      </c>
      <c r="I31" s="20">
        <v>49</v>
      </c>
      <c r="J31" s="20">
        <v>40</v>
      </c>
      <c r="K31" s="20">
        <v>50</v>
      </c>
      <c r="L31" s="20">
        <v>45</v>
      </c>
      <c r="M31" s="20">
        <v>42</v>
      </c>
    </row>
    <row r="32" spans="1:13" ht="12.75" customHeight="1" x14ac:dyDescent="0.2">
      <c r="A32" s="43" t="s">
        <v>41</v>
      </c>
      <c r="B32" s="20">
        <f t="shared" si="1"/>
        <v>786</v>
      </c>
      <c r="C32" s="20">
        <f t="shared" si="2"/>
        <v>570</v>
      </c>
      <c r="D32" s="20">
        <f>77+69</f>
        <v>146</v>
      </c>
      <c r="E32" s="20">
        <f>71+71</f>
        <v>142</v>
      </c>
      <c r="F32" s="20">
        <f>64+80</f>
        <v>144</v>
      </c>
      <c r="G32" s="20">
        <f>62+76</f>
        <v>138</v>
      </c>
      <c r="H32" s="20">
        <f t="shared" si="3"/>
        <v>216</v>
      </c>
      <c r="I32" s="20">
        <v>45</v>
      </c>
      <c r="J32" s="20">
        <v>39</v>
      </c>
      <c r="K32" s="20">
        <v>42</v>
      </c>
      <c r="L32" s="20">
        <v>49</v>
      </c>
      <c r="M32" s="20">
        <v>41</v>
      </c>
    </row>
    <row r="33" spans="1:13" ht="12.75" customHeight="1" x14ac:dyDescent="0.2">
      <c r="A33" s="43" t="s">
        <v>42</v>
      </c>
      <c r="B33" s="20">
        <f t="shared" si="1"/>
        <v>1734</v>
      </c>
      <c r="C33" s="20">
        <f t="shared" si="2"/>
        <v>1244</v>
      </c>
      <c r="D33" s="20">
        <f>327-38</f>
        <v>289</v>
      </c>
      <c r="E33" s="20">
        <f>353-32</f>
        <v>321</v>
      </c>
      <c r="F33" s="20">
        <f>364-32</f>
        <v>332</v>
      </c>
      <c r="G33" s="20">
        <f>340-38</f>
        <v>302</v>
      </c>
      <c r="H33" s="20">
        <f t="shared" si="3"/>
        <v>490</v>
      </c>
      <c r="I33" s="20">
        <v>103</v>
      </c>
      <c r="J33" s="20">
        <v>90</v>
      </c>
      <c r="K33" s="20">
        <v>87</v>
      </c>
      <c r="L33" s="20">
        <v>105</v>
      </c>
      <c r="M33" s="20">
        <f>86+19</f>
        <v>105</v>
      </c>
    </row>
    <row r="34" spans="1:13" ht="12.75" customHeight="1" x14ac:dyDescent="0.2">
      <c r="A34" s="43" t="s">
        <v>43</v>
      </c>
      <c r="B34" s="20">
        <f t="shared" si="1"/>
        <v>428</v>
      </c>
      <c r="C34" s="20">
        <f t="shared" si="2"/>
        <v>292</v>
      </c>
      <c r="D34" s="20">
        <v>76</v>
      </c>
      <c r="E34" s="20">
        <v>75</v>
      </c>
      <c r="F34" s="20">
        <v>76</v>
      </c>
      <c r="G34" s="20">
        <v>65</v>
      </c>
      <c r="H34" s="20">
        <f t="shared" si="3"/>
        <v>136</v>
      </c>
      <c r="I34" s="20">
        <v>36</v>
      </c>
      <c r="J34" s="20">
        <v>34</v>
      </c>
      <c r="K34" s="20">
        <v>21</v>
      </c>
      <c r="L34" s="20">
        <v>19</v>
      </c>
      <c r="M34" s="20">
        <v>26</v>
      </c>
    </row>
    <row r="35" spans="1:13" ht="12.75" customHeight="1" x14ac:dyDescent="0.2">
      <c r="A35" s="43" t="s">
        <v>44</v>
      </c>
      <c r="B35" s="20">
        <f t="shared" si="1"/>
        <v>1756</v>
      </c>
      <c r="C35" s="20">
        <f t="shared" si="2"/>
        <v>1279</v>
      </c>
      <c r="D35" s="20">
        <v>309</v>
      </c>
      <c r="E35" s="20">
        <v>327</v>
      </c>
      <c r="F35" s="20">
        <v>320</v>
      </c>
      <c r="G35" s="20">
        <v>323</v>
      </c>
      <c r="H35" s="20">
        <f t="shared" si="3"/>
        <v>477</v>
      </c>
      <c r="I35" s="20">
        <v>119</v>
      </c>
      <c r="J35" s="20">
        <v>87</v>
      </c>
      <c r="K35" s="20">
        <v>101</v>
      </c>
      <c r="L35" s="20">
        <v>103</v>
      </c>
      <c r="M35" s="20">
        <v>67</v>
      </c>
    </row>
    <row r="36" spans="1:13" ht="12.75" customHeight="1" x14ac:dyDescent="0.2">
      <c r="A36" s="43" t="s">
        <v>45</v>
      </c>
      <c r="B36" s="20">
        <f t="shared" si="1"/>
        <v>1890</v>
      </c>
      <c r="C36" s="20">
        <f t="shared" si="2"/>
        <v>1292</v>
      </c>
      <c r="D36" s="20">
        <v>294</v>
      </c>
      <c r="E36" s="20">
        <v>327</v>
      </c>
      <c r="F36" s="20">
        <v>337</v>
      </c>
      <c r="G36" s="20">
        <v>334</v>
      </c>
      <c r="H36" s="20">
        <f t="shared" si="3"/>
        <v>598</v>
      </c>
      <c r="I36" s="20">
        <v>134</v>
      </c>
      <c r="J36" s="20">
        <v>129</v>
      </c>
      <c r="K36" s="20">
        <v>103</v>
      </c>
      <c r="L36" s="20">
        <v>117</v>
      </c>
      <c r="M36" s="20">
        <v>115</v>
      </c>
    </row>
    <row r="37" spans="1:13" ht="12.75" customHeight="1" x14ac:dyDescent="0.2">
      <c r="A37" s="44" t="s">
        <v>46</v>
      </c>
      <c r="B37" s="20">
        <f t="shared" ref="B37:M37" si="4">SUM(B19:B36)</f>
        <v>19001</v>
      </c>
      <c r="C37" s="20">
        <f t="shared" si="4"/>
        <v>13706</v>
      </c>
      <c r="D37" s="20">
        <f t="shared" si="4"/>
        <v>3255</v>
      </c>
      <c r="E37" s="20">
        <f t="shared" si="4"/>
        <v>3511</v>
      </c>
      <c r="F37" s="20">
        <f t="shared" si="4"/>
        <v>3603</v>
      </c>
      <c r="G37" s="20">
        <f t="shared" si="4"/>
        <v>3337</v>
      </c>
      <c r="H37" s="20">
        <f t="shared" si="4"/>
        <v>5295</v>
      </c>
      <c r="I37" s="20">
        <f t="shared" si="4"/>
        <v>1136</v>
      </c>
      <c r="J37" s="20">
        <f t="shared" si="4"/>
        <v>1033</v>
      </c>
      <c r="K37" s="20">
        <f t="shared" si="4"/>
        <v>1034</v>
      </c>
      <c r="L37" s="20">
        <f t="shared" si="4"/>
        <v>1030</v>
      </c>
      <c r="M37" s="20">
        <f t="shared" si="4"/>
        <v>1062</v>
      </c>
    </row>
    <row r="38" spans="1:13" ht="12.75" customHeight="1" x14ac:dyDescent="0.2">
      <c r="A38" s="43"/>
    </row>
    <row r="39" spans="1:13" ht="12.75" customHeight="1" x14ac:dyDescent="0.2">
      <c r="A39" s="44" t="s">
        <v>47</v>
      </c>
      <c r="B39" s="4">
        <f t="shared" ref="B39:M39" si="5">B17+B37</f>
        <v>25864</v>
      </c>
      <c r="C39" s="4">
        <f t="shared" si="5"/>
        <v>18490</v>
      </c>
      <c r="D39" s="4">
        <f t="shared" si="5"/>
        <v>4413</v>
      </c>
      <c r="E39" s="4">
        <f t="shared" si="5"/>
        <v>4700</v>
      </c>
      <c r="F39" s="4">
        <f t="shared" si="5"/>
        <v>4850</v>
      </c>
      <c r="G39" s="4">
        <f t="shared" si="5"/>
        <v>4527</v>
      </c>
      <c r="H39" s="4">
        <f t="shared" si="5"/>
        <v>7374</v>
      </c>
      <c r="I39" s="4">
        <f t="shared" si="5"/>
        <v>1547</v>
      </c>
      <c r="J39" s="4">
        <f t="shared" si="5"/>
        <v>1433</v>
      </c>
      <c r="K39" s="4">
        <f t="shared" si="5"/>
        <v>1457</v>
      </c>
      <c r="L39" s="4">
        <f t="shared" si="5"/>
        <v>1420</v>
      </c>
      <c r="M39" s="4">
        <f t="shared" si="5"/>
        <v>1517</v>
      </c>
    </row>
    <row r="64" spans="1:1" ht="10.199999999999999" x14ac:dyDescent="0.2">
      <c r="A64" s="45"/>
    </row>
    <row r="65" ht="10.199999999999999" x14ac:dyDescent="0.2"/>
  </sheetData>
  <phoneticPr fontId="9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F5" sqref="F5"/>
    </sheetView>
  </sheetViews>
  <sheetFormatPr baseColWidth="10" defaultColWidth="8.42578125" defaultRowHeight="12.75" customHeight="1" x14ac:dyDescent="0.2"/>
  <cols>
    <col min="1" max="1" width="18.7109375" style="20" customWidth="1"/>
    <col min="2" max="3" width="8.140625" style="20" customWidth="1"/>
    <col min="4" max="7" width="7.7109375" style="20" customWidth="1"/>
    <col min="8" max="8" width="8.140625" style="20" customWidth="1"/>
    <col min="9" max="13" width="7.7109375" style="20" customWidth="1"/>
    <col min="14" max="16384" width="8.42578125" style="20"/>
  </cols>
  <sheetData>
    <row r="1" spans="1:13" ht="12.75" customHeight="1" x14ac:dyDescent="0.25">
      <c r="A1" s="1" t="s">
        <v>52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3" ht="12.75" customHeight="1" x14ac:dyDescent="0.25">
      <c r="A3" s="3" t="s">
        <v>51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2.75" customHeight="1" x14ac:dyDescent="0.25">
      <c r="A4" s="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2.7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2.75" customHeight="1" x14ac:dyDescent="0.2">
      <c r="A6" s="24"/>
      <c r="B6" s="25" t="s">
        <v>3</v>
      </c>
      <c r="C6" s="26" t="s">
        <v>4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2.75" customHeight="1" x14ac:dyDescent="0.2">
      <c r="A7" s="24"/>
      <c r="B7" s="25" t="s">
        <v>5</v>
      </c>
      <c r="C7" s="27" t="s">
        <v>3</v>
      </c>
      <c r="D7" s="22" t="s">
        <v>6</v>
      </c>
      <c r="E7" s="22"/>
      <c r="F7" s="22"/>
      <c r="G7" s="28"/>
      <c r="H7" s="25" t="s">
        <v>7</v>
      </c>
      <c r="I7" s="22" t="s">
        <v>6</v>
      </c>
      <c r="J7" s="22"/>
      <c r="K7" s="22"/>
      <c r="L7" s="22"/>
      <c r="M7" s="22"/>
    </row>
    <row r="8" spans="1:13" ht="12.75" customHeight="1" x14ac:dyDescent="0.2">
      <c r="A8" s="29" t="s">
        <v>8</v>
      </c>
      <c r="B8" s="25" t="s">
        <v>9</v>
      </c>
      <c r="C8" s="27" t="s">
        <v>10</v>
      </c>
      <c r="D8" s="30"/>
      <c r="E8" s="30"/>
      <c r="F8" s="30"/>
      <c r="G8" s="31"/>
      <c r="H8" s="27" t="s">
        <v>10</v>
      </c>
      <c r="I8" s="32"/>
      <c r="J8" s="32"/>
      <c r="K8" s="32"/>
      <c r="L8" s="32"/>
      <c r="M8" s="32"/>
    </row>
    <row r="9" spans="1:13" ht="12.75" customHeight="1" x14ac:dyDescent="0.2">
      <c r="A9" s="28"/>
      <c r="B9" s="27" t="s">
        <v>10</v>
      </c>
      <c r="C9" s="69" t="s">
        <v>86</v>
      </c>
      <c r="D9" s="33" t="s">
        <v>11</v>
      </c>
      <c r="E9" s="33"/>
      <c r="F9" s="33"/>
      <c r="G9" s="34"/>
      <c r="H9" s="69" t="s">
        <v>86</v>
      </c>
      <c r="I9" s="33" t="s">
        <v>11</v>
      </c>
      <c r="J9" s="33"/>
      <c r="K9" s="33"/>
      <c r="L9" s="33"/>
      <c r="M9" s="33"/>
    </row>
    <row r="10" spans="1:13" ht="12.75" customHeight="1" x14ac:dyDescent="0.2">
      <c r="A10" s="35"/>
      <c r="B10" s="36" t="s">
        <v>12</v>
      </c>
      <c r="C10" s="70" t="s">
        <v>87</v>
      </c>
      <c r="D10" s="37" t="s">
        <v>13</v>
      </c>
      <c r="E10" s="37" t="s">
        <v>14</v>
      </c>
      <c r="F10" s="37" t="s">
        <v>15</v>
      </c>
      <c r="G10" s="38" t="s">
        <v>16</v>
      </c>
      <c r="H10" s="70" t="s">
        <v>87</v>
      </c>
      <c r="I10" s="37" t="s">
        <v>17</v>
      </c>
      <c r="J10" s="37" t="s">
        <v>18</v>
      </c>
      <c r="K10" s="37" t="s">
        <v>19</v>
      </c>
      <c r="L10" s="37" t="s">
        <v>20</v>
      </c>
      <c r="M10" s="39" t="s">
        <v>21</v>
      </c>
    </row>
    <row r="11" spans="1:13" ht="12.75" customHeight="1" x14ac:dyDescent="0.2">
      <c r="A11" s="24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2.75" customHeight="1" x14ac:dyDescent="0.2">
      <c r="A12" s="29" t="s">
        <v>22</v>
      </c>
      <c r="B12" s="20">
        <f>C12+H12</f>
        <v>316</v>
      </c>
      <c r="C12" s="20">
        <f>SUM(D12:G12)</f>
        <v>316</v>
      </c>
      <c r="D12" s="20">
        <v>73</v>
      </c>
      <c r="E12" s="20">
        <v>89</v>
      </c>
      <c r="F12" s="20">
        <v>76</v>
      </c>
      <c r="G12" s="20">
        <v>78</v>
      </c>
      <c r="H12" s="20">
        <f>SUM(I12:M12)</f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3" ht="12.75" customHeight="1" x14ac:dyDescent="0.2">
      <c r="A13" s="29" t="s">
        <v>23</v>
      </c>
      <c r="B13" s="20">
        <f>C13+H13</f>
        <v>1176</v>
      </c>
      <c r="C13" s="20">
        <f>SUM(D13:G13)</f>
        <v>978</v>
      </c>
      <c r="D13" s="20">
        <v>247</v>
      </c>
      <c r="E13" s="20">
        <v>243</v>
      </c>
      <c r="F13" s="20">
        <v>254</v>
      </c>
      <c r="G13" s="20">
        <v>234</v>
      </c>
      <c r="H13" s="20">
        <f>SUM(I13:M13)</f>
        <v>198</v>
      </c>
      <c r="I13" s="20">
        <v>43</v>
      </c>
      <c r="J13" s="20">
        <v>46</v>
      </c>
      <c r="K13" s="20">
        <v>40</v>
      </c>
      <c r="L13" s="20">
        <v>35</v>
      </c>
      <c r="M13" s="20">
        <v>34</v>
      </c>
    </row>
    <row r="14" spans="1:13" ht="12.75" customHeight="1" x14ac:dyDescent="0.2">
      <c r="A14" s="29" t="s">
        <v>24</v>
      </c>
      <c r="B14" s="20">
        <f>C14+H14</f>
        <v>2184</v>
      </c>
      <c r="C14" s="20">
        <f>SUM(D14:G14)</f>
        <v>1542</v>
      </c>
      <c r="D14" s="20">
        <v>357</v>
      </c>
      <c r="E14" s="20">
        <v>411</v>
      </c>
      <c r="F14" s="20">
        <v>388</v>
      </c>
      <c r="G14" s="20">
        <v>386</v>
      </c>
      <c r="H14" s="20">
        <f>SUM(I14:M14)</f>
        <v>642</v>
      </c>
      <c r="I14" s="20">
        <v>143</v>
      </c>
      <c r="J14" s="20">
        <v>126</v>
      </c>
      <c r="K14" s="20">
        <v>123</v>
      </c>
      <c r="L14" s="20">
        <v>125</v>
      </c>
      <c r="M14" s="20">
        <v>125</v>
      </c>
    </row>
    <row r="15" spans="1:13" ht="12.75" customHeight="1" x14ac:dyDescent="0.2">
      <c r="A15" s="29" t="s">
        <v>25</v>
      </c>
      <c r="B15" s="20">
        <f>C15+H15</f>
        <v>1736</v>
      </c>
      <c r="C15" s="20">
        <f>SUM(D15:G15)</f>
        <v>1121</v>
      </c>
      <c r="D15" s="20">
        <v>267</v>
      </c>
      <c r="E15" s="20">
        <v>290</v>
      </c>
      <c r="F15" s="20">
        <v>273</v>
      </c>
      <c r="G15" s="20">
        <v>291</v>
      </c>
      <c r="H15" s="20">
        <f>SUM(I15:M15)</f>
        <v>615</v>
      </c>
      <c r="I15" s="20">
        <v>138</v>
      </c>
      <c r="J15" s="20">
        <v>121</v>
      </c>
      <c r="K15" s="20">
        <v>96</v>
      </c>
      <c r="L15" s="20">
        <v>120</v>
      </c>
      <c r="M15" s="20">
        <v>140</v>
      </c>
    </row>
    <row r="16" spans="1:13" ht="12.75" customHeight="1" x14ac:dyDescent="0.2">
      <c r="A16" s="29" t="s">
        <v>26</v>
      </c>
      <c r="B16" s="20">
        <f>C16+H16</f>
        <v>1636</v>
      </c>
      <c r="C16" s="20">
        <f>SUM(D16:G16)</f>
        <v>1009</v>
      </c>
      <c r="D16" s="20">
        <v>249</v>
      </c>
      <c r="E16" s="20">
        <v>235</v>
      </c>
      <c r="F16" s="20">
        <v>260</v>
      </c>
      <c r="G16" s="20">
        <v>265</v>
      </c>
      <c r="H16" s="20">
        <f>SUM(I16:M16)</f>
        <v>627</v>
      </c>
      <c r="I16" s="20">
        <v>107</v>
      </c>
      <c r="J16" s="20">
        <v>118</v>
      </c>
      <c r="K16" s="20">
        <v>121</v>
      </c>
      <c r="L16" s="20">
        <v>110</v>
      </c>
      <c r="M16" s="20">
        <v>171</v>
      </c>
    </row>
    <row r="17" spans="1:13" ht="12.75" customHeight="1" x14ac:dyDescent="0.2">
      <c r="A17" s="41" t="s">
        <v>27</v>
      </c>
      <c r="B17" s="20">
        <f t="shared" ref="B17:M17" si="0">SUM(B12:B16)</f>
        <v>7048</v>
      </c>
      <c r="C17" s="20">
        <f t="shared" si="0"/>
        <v>4966</v>
      </c>
      <c r="D17" s="20">
        <f t="shared" si="0"/>
        <v>1193</v>
      </c>
      <c r="E17" s="20">
        <f t="shared" si="0"/>
        <v>1268</v>
      </c>
      <c r="F17" s="20">
        <f t="shared" si="0"/>
        <v>1251</v>
      </c>
      <c r="G17" s="20">
        <f t="shared" si="0"/>
        <v>1254</v>
      </c>
      <c r="H17" s="20">
        <f t="shared" si="0"/>
        <v>2082</v>
      </c>
      <c r="I17" s="20">
        <f t="shared" si="0"/>
        <v>431</v>
      </c>
      <c r="J17" s="20">
        <f t="shared" si="0"/>
        <v>411</v>
      </c>
      <c r="K17" s="20">
        <f t="shared" si="0"/>
        <v>380</v>
      </c>
      <c r="L17" s="20">
        <f t="shared" si="0"/>
        <v>390</v>
      </c>
      <c r="M17" s="20">
        <f t="shared" si="0"/>
        <v>470</v>
      </c>
    </row>
    <row r="18" spans="1:13" ht="12.75" customHeight="1" x14ac:dyDescent="0.2">
      <c r="A18" s="29"/>
    </row>
    <row r="19" spans="1:13" ht="12.75" customHeight="1" x14ac:dyDescent="0.2">
      <c r="A19" s="29" t="s">
        <v>28</v>
      </c>
      <c r="B19" s="20">
        <f t="shared" ref="B19:B36" si="1">C19+H19</f>
        <v>3305</v>
      </c>
      <c r="C19" s="20">
        <f t="shared" ref="C19:C36" si="2">SUM(D19:G19)</f>
        <v>2448</v>
      </c>
      <c r="D19" s="42">
        <v>619</v>
      </c>
      <c r="E19" s="42">
        <v>645</v>
      </c>
      <c r="F19" s="42">
        <v>569</v>
      </c>
      <c r="G19" s="42">
        <v>615</v>
      </c>
      <c r="H19" s="20">
        <f t="shared" ref="H19:H36" si="3">SUM(I19:M19)</f>
        <v>857</v>
      </c>
      <c r="I19" s="42">
        <v>172</v>
      </c>
      <c r="J19" s="42">
        <v>179</v>
      </c>
      <c r="K19" s="42">
        <v>155</v>
      </c>
      <c r="L19" s="42">
        <v>165</v>
      </c>
      <c r="M19" s="42">
        <v>186</v>
      </c>
    </row>
    <row r="20" spans="1:13" ht="12.75" customHeight="1" x14ac:dyDescent="0.2">
      <c r="A20" s="29" t="s">
        <v>29</v>
      </c>
      <c r="B20" s="20">
        <f t="shared" si="1"/>
        <v>251</v>
      </c>
      <c r="C20" s="20">
        <f t="shared" si="2"/>
        <v>251</v>
      </c>
      <c r="D20" s="20">
        <v>67</v>
      </c>
      <c r="E20" s="20">
        <v>64</v>
      </c>
      <c r="F20" s="20">
        <v>56</v>
      </c>
      <c r="G20" s="20">
        <v>64</v>
      </c>
      <c r="H20" s="20">
        <f t="shared" si="3"/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3" ht="12.75" customHeight="1" x14ac:dyDescent="0.2">
      <c r="A21" s="29" t="s">
        <v>30</v>
      </c>
      <c r="B21" s="20">
        <f t="shared" si="1"/>
        <v>386</v>
      </c>
      <c r="C21" s="20">
        <f t="shared" si="2"/>
        <v>386</v>
      </c>
      <c r="D21" s="20">
        <v>83</v>
      </c>
      <c r="E21" s="20">
        <v>91</v>
      </c>
      <c r="F21" s="20">
        <v>97</v>
      </c>
      <c r="G21" s="20">
        <v>115</v>
      </c>
      <c r="H21" s="20">
        <f t="shared" si="3"/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1:13" ht="12.75" customHeight="1" x14ac:dyDescent="0.2">
      <c r="A22" s="29" t="s">
        <v>31</v>
      </c>
      <c r="B22" s="20">
        <f t="shared" si="1"/>
        <v>767</v>
      </c>
      <c r="C22" s="20">
        <f t="shared" si="2"/>
        <v>654</v>
      </c>
      <c r="D22" s="20">
        <v>162</v>
      </c>
      <c r="E22" s="20">
        <v>173</v>
      </c>
      <c r="F22" s="20">
        <v>160</v>
      </c>
      <c r="G22" s="20">
        <v>159</v>
      </c>
      <c r="H22" s="20">
        <f t="shared" si="3"/>
        <v>113</v>
      </c>
      <c r="I22" s="20">
        <v>24</v>
      </c>
      <c r="J22" s="20">
        <v>21</v>
      </c>
      <c r="K22" s="20">
        <v>24</v>
      </c>
      <c r="L22" s="20">
        <v>26</v>
      </c>
      <c r="M22" s="20">
        <v>18</v>
      </c>
    </row>
    <row r="23" spans="1:13" ht="12.75" customHeight="1" x14ac:dyDescent="0.2">
      <c r="A23" s="29" t="s">
        <v>32</v>
      </c>
      <c r="B23" s="20">
        <f t="shared" si="1"/>
        <v>1283</v>
      </c>
      <c r="C23" s="20">
        <f t="shared" si="2"/>
        <v>895</v>
      </c>
      <c r="D23" s="20">
        <v>231</v>
      </c>
      <c r="E23" s="20">
        <v>246</v>
      </c>
      <c r="F23" s="20">
        <v>216</v>
      </c>
      <c r="G23" s="20">
        <v>202</v>
      </c>
      <c r="H23" s="20">
        <f t="shared" si="3"/>
        <v>388</v>
      </c>
      <c r="I23" s="20">
        <v>68</v>
      </c>
      <c r="J23" s="20">
        <v>68</v>
      </c>
      <c r="K23" s="20">
        <v>73</v>
      </c>
      <c r="L23" s="20">
        <v>78</v>
      </c>
      <c r="M23" s="20">
        <v>101</v>
      </c>
    </row>
    <row r="24" spans="1:13" ht="12.75" customHeight="1" x14ac:dyDescent="0.2">
      <c r="A24" s="29" t="s">
        <v>33</v>
      </c>
      <c r="B24" s="20">
        <f t="shared" si="1"/>
        <v>574</v>
      </c>
      <c r="C24" s="20">
        <f t="shared" si="2"/>
        <v>334</v>
      </c>
      <c r="D24" s="20">
        <v>77</v>
      </c>
      <c r="E24" s="20">
        <v>83</v>
      </c>
      <c r="F24" s="20">
        <v>90</v>
      </c>
      <c r="G24" s="20">
        <v>84</v>
      </c>
      <c r="H24" s="20">
        <f t="shared" si="3"/>
        <v>240</v>
      </c>
      <c r="I24" s="20">
        <v>45</v>
      </c>
      <c r="J24" s="20">
        <v>52</v>
      </c>
      <c r="K24" s="20">
        <v>41</v>
      </c>
      <c r="L24" s="20">
        <v>38</v>
      </c>
      <c r="M24" s="20">
        <v>64</v>
      </c>
    </row>
    <row r="25" spans="1:13" ht="12.75" customHeight="1" x14ac:dyDescent="0.2">
      <c r="A25" s="43" t="s">
        <v>34</v>
      </c>
      <c r="B25" s="20">
        <f t="shared" si="1"/>
        <v>1126</v>
      </c>
      <c r="C25" s="20">
        <f t="shared" si="2"/>
        <v>819</v>
      </c>
      <c r="D25" s="20">
        <v>182</v>
      </c>
      <c r="E25" s="20">
        <v>202</v>
      </c>
      <c r="F25" s="20">
        <v>204</v>
      </c>
      <c r="G25" s="20">
        <v>231</v>
      </c>
      <c r="H25" s="20">
        <f t="shared" si="3"/>
        <v>307</v>
      </c>
      <c r="I25" s="20">
        <v>51</v>
      </c>
      <c r="J25" s="20">
        <v>60</v>
      </c>
      <c r="K25" s="20">
        <v>70</v>
      </c>
      <c r="L25" s="20">
        <v>58</v>
      </c>
      <c r="M25" s="20">
        <v>68</v>
      </c>
    </row>
    <row r="26" spans="1:13" ht="12.75" customHeight="1" x14ac:dyDescent="0.2">
      <c r="A26" s="43" t="s">
        <v>35</v>
      </c>
      <c r="B26" s="20">
        <f t="shared" si="1"/>
        <v>1729</v>
      </c>
      <c r="C26" s="20">
        <f t="shared" si="2"/>
        <v>1088</v>
      </c>
      <c r="D26" s="20">
        <v>244</v>
      </c>
      <c r="E26" s="20">
        <v>261</v>
      </c>
      <c r="F26" s="20">
        <v>281</v>
      </c>
      <c r="G26" s="20">
        <v>302</v>
      </c>
      <c r="H26" s="20">
        <f t="shared" si="3"/>
        <v>641</v>
      </c>
      <c r="I26" s="20">
        <v>139</v>
      </c>
      <c r="J26" s="20">
        <v>140</v>
      </c>
      <c r="K26" s="20">
        <v>124</v>
      </c>
      <c r="L26" s="20">
        <v>114</v>
      </c>
      <c r="M26" s="20">
        <v>124</v>
      </c>
    </row>
    <row r="27" spans="1:13" ht="12.75" customHeight="1" x14ac:dyDescent="0.2">
      <c r="A27" s="43" t="s">
        <v>36</v>
      </c>
      <c r="B27" s="20">
        <f t="shared" si="1"/>
        <v>457</v>
      </c>
      <c r="C27" s="20">
        <f t="shared" si="2"/>
        <v>262</v>
      </c>
      <c r="D27" s="42">
        <v>66</v>
      </c>
      <c r="E27" s="42">
        <v>64</v>
      </c>
      <c r="F27" s="42">
        <v>65</v>
      </c>
      <c r="G27" s="42">
        <v>67</v>
      </c>
      <c r="H27" s="20">
        <f t="shared" si="3"/>
        <v>195</v>
      </c>
      <c r="I27" s="42">
        <v>46</v>
      </c>
      <c r="J27" s="42">
        <v>45</v>
      </c>
      <c r="K27" s="42">
        <v>35</v>
      </c>
      <c r="L27" s="42">
        <v>35</v>
      </c>
      <c r="M27" s="42">
        <v>34</v>
      </c>
    </row>
    <row r="28" spans="1:13" ht="12.75" customHeight="1" x14ac:dyDescent="0.2">
      <c r="A28" s="43" t="s">
        <v>37</v>
      </c>
      <c r="B28" s="20">
        <f t="shared" si="1"/>
        <v>289</v>
      </c>
      <c r="C28" s="20">
        <f t="shared" si="2"/>
        <v>289</v>
      </c>
      <c r="D28" s="20">
        <v>61</v>
      </c>
      <c r="E28" s="20">
        <v>79</v>
      </c>
      <c r="F28" s="20">
        <v>67</v>
      </c>
      <c r="G28" s="20">
        <v>82</v>
      </c>
      <c r="H28" s="20">
        <f t="shared" si="3"/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1:13" ht="12.75" customHeight="1" x14ac:dyDescent="0.2">
      <c r="A29" s="43" t="s">
        <v>38</v>
      </c>
      <c r="B29" s="20">
        <f t="shared" si="1"/>
        <v>522</v>
      </c>
      <c r="C29" s="20">
        <f t="shared" si="2"/>
        <v>381</v>
      </c>
      <c r="D29" s="20">
        <v>116</v>
      </c>
      <c r="E29" s="20">
        <v>92</v>
      </c>
      <c r="F29" s="20">
        <v>75</v>
      </c>
      <c r="G29" s="20">
        <v>98</v>
      </c>
      <c r="H29" s="20">
        <f t="shared" si="3"/>
        <v>141</v>
      </c>
      <c r="I29" s="20">
        <v>34</v>
      </c>
      <c r="J29" s="20">
        <v>22</v>
      </c>
      <c r="K29" s="20">
        <v>20</v>
      </c>
      <c r="L29" s="20">
        <v>32</v>
      </c>
      <c r="M29" s="20">
        <v>33</v>
      </c>
    </row>
    <row r="30" spans="1:13" ht="12.75" customHeight="1" x14ac:dyDescent="0.2">
      <c r="A30" s="43" t="s">
        <v>39</v>
      </c>
      <c r="B30" s="20">
        <f t="shared" si="1"/>
        <v>1162</v>
      </c>
      <c r="C30" s="20">
        <f t="shared" si="2"/>
        <v>945</v>
      </c>
      <c r="D30" s="20">
        <v>247</v>
      </c>
      <c r="E30" s="20">
        <v>243</v>
      </c>
      <c r="F30" s="20">
        <v>215</v>
      </c>
      <c r="G30" s="20">
        <v>240</v>
      </c>
      <c r="H30" s="20">
        <f t="shared" si="3"/>
        <v>217</v>
      </c>
      <c r="I30" s="20">
        <v>53</v>
      </c>
      <c r="J30" s="20">
        <v>45</v>
      </c>
      <c r="K30" s="20">
        <v>38</v>
      </c>
      <c r="L30" s="20">
        <v>40</v>
      </c>
      <c r="M30" s="20">
        <v>41</v>
      </c>
    </row>
    <row r="31" spans="1:13" ht="12.75" customHeight="1" x14ac:dyDescent="0.2">
      <c r="A31" s="43" t="s">
        <v>40</v>
      </c>
      <c r="B31" s="20">
        <f t="shared" si="1"/>
        <v>760</v>
      </c>
      <c r="C31" s="20">
        <f t="shared" si="2"/>
        <v>543</v>
      </c>
      <c r="D31" s="20">
        <v>139</v>
      </c>
      <c r="E31" s="20">
        <v>154</v>
      </c>
      <c r="F31" s="20">
        <v>139</v>
      </c>
      <c r="G31" s="20">
        <v>111</v>
      </c>
      <c r="H31" s="20">
        <f t="shared" si="3"/>
        <v>217</v>
      </c>
      <c r="I31" s="20">
        <v>47</v>
      </c>
      <c r="J31" s="20">
        <v>45</v>
      </c>
      <c r="K31" s="20">
        <v>47</v>
      </c>
      <c r="L31" s="20">
        <v>43</v>
      </c>
      <c r="M31" s="20">
        <v>35</v>
      </c>
    </row>
    <row r="32" spans="1:13" ht="12.75" customHeight="1" x14ac:dyDescent="0.2">
      <c r="A32" s="43" t="s">
        <v>41</v>
      </c>
      <c r="B32" s="20">
        <f t="shared" si="1"/>
        <v>776</v>
      </c>
      <c r="C32" s="20">
        <f t="shared" si="2"/>
        <v>570</v>
      </c>
      <c r="D32" s="20">
        <v>139</v>
      </c>
      <c r="E32" s="20">
        <v>133</v>
      </c>
      <c r="F32" s="20">
        <v>152</v>
      </c>
      <c r="G32" s="20">
        <v>146</v>
      </c>
      <c r="H32" s="20">
        <f t="shared" si="3"/>
        <v>206</v>
      </c>
      <c r="I32" s="20">
        <v>43</v>
      </c>
      <c r="J32" s="20">
        <v>38</v>
      </c>
      <c r="K32" s="20">
        <v>47</v>
      </c>
      <c r="L32" s="20">
        <v>38</v>
      </c>
      <c r="M32" s="20">
        <v>40</v>
      </c>
    </row>
    <row r="33" spans="1:13" ht="12.75" customHeight="1" x14ac:dyDescent="0.2">
      <c r="A33" s="43" t="s">
        <v>42</v>
      </c>
      <c r="B33" s="20">
        <f t="shared" si="1"/>
        <v>1836</v>
      </c>
      <c r="C33" s="20">
        <f t="shared" si="2"/>
        <v>1357</v>
      </c>
      <c r="D33" s="20">
        <v>327</v>
      </c>
      <c r="E33" s="20">
        <v>347</v>
      </c>
      <c r="F33" s="20">
        <v>320</v>
      </c>
      <c r="G33" s="20">
        <v>363</v>
      </c>
      <c r="H33" s="20">
        <f t="shared" si="3"/>
        <v>479</v>
      </c>
      <c r="I33" s="20">
        <v>100</v>
      </c>
      <c r="J33" s="20">
        <v>84</v>
      </c>
      <c r="K33" s="20">
        <v>95</v>
      </c>
      <c r="L33" s="20">
        <v>82</v>
      </c>
      <c r="M33" s="20">
        <v>118</v>
      </c>
    </row>
    <row r="34" spans="1:13" ht="12.75" customHeight="1" x14ac:dyDescent="0.2">
      <c r="A34" s="43" t="s">
        <v>43</v>
      </c>
      <c r="B34" s="20">
        <f t="shared" si="1"/>
        <v>414</v>
      </c>
      <c r="C34" s="20">
        <f t="shared" si="2"/>
        <v>292</v>
      </c>
      <c r="D34" s="20">
        <v>78</v>
      </c>
      <c r="E34" s="20">
        <v>78</v>
      </c>
      <c r="F34" s="20">
        <v>71</v>
      </c>
      <c r="G34" s="20">
        <v>65</v>
      </c>
      <c r="H34" s="20">
        <f t="shared" si="3"/>
        <v>122</v>
      </c>
      <c r="I34" s="20">
        <v>34</v>
      </c>
      <c r="J34" s="20">
        <v>24</v>
      </c>
      <c r="K34" s="20">
        <v>18</v>
      </c>
      <c r="L34" s="20">
        <v>26</v>
      </c>
      <c r="M34" s="20">
        <v>20</v>
      </c>
    </row>
    <row r="35" spans="1:13" ht="12.75" customHeight="1" x14ac:dyDescent="0.2">
      <c r="A35" s="43" t="s">
        <v>44</v>
      </c>
      <c r="B35" s="20">
        <f t="shared" si="1"/>
        <v>1725</v>
      </c>
      <c r="C35" s="20">
        <f t="shared" si="2"/>
        <v>1291</v>
      </c>
      <c r="D35" s="20">
        <v>316</v>
      </c>
      <c r="E35" s="20">
        <v>303</v>
      </c>
      <c r="F35" s="20">
        <v>321</v>
      </c>
      <c r="G35" s="20">
        <v>351</v>
      </c>
      <c r="H35" s="20">
        <f t="shared" si="3"/>
        <v>434</v>
      </c>
      <c r="I35" s="20">
        <v>93</v>
      </c>
      <c r="J35" s="20">
        <v>102</v>
      </c>
      <c r="K35" s="20">
        <v>96</v>
      </c>
      <c r="L35" s="20">
        <v>70</v>
      </c>
      <c r="M35" s="20">
        <v>73</v>
      </c>
    </row>
    <row r="36" spans="1:13" ht="12.75" customHeight="1" x14ac:dyDescent="0.2">
      <c r="A36" s="43" t="s">
        <v>45</v>
      </c>
      <c r="B36" s="20">
        <f t="shared" si="1"/>
        <v>1923</v>
      </c>
      <c r="C36" s="20">
        <f t="shared" si="2"/>
        <v>1348</v>
      </c>
      <c r="D36" s="20">
        <v>334</v>
      </c>
      <c r="E36" s="20">
        <v>346</v>
      </c>
      <c r="F36" s="20">
        <v>343</v>
      </c>
      <c r="G36" s="20">
        <v>325</v>
      </c>
      <c r="H36" s="20">
        <f t="shared" si="3"/>
        <v>575</v>
      </c>
      <c r="I36" s="20">
        <v>137</v>
      </c>
      <c r="J36" s="20">
        <v>89</v>
      </c>
      <c r="K36" s="20">
        <v>118</v>
      </c>
      <c r="L36" s="20">
        <v>103</v>
      </c>
      <c r="M36" s="20">
        <v>128</v>
      </c>
    </row>
    <row r="37" spans="1:13" ht="12.75" customHeight="1" x14ac:dyDescent="0.2">
      <c r="A37" s="44" t="s">
        <v>46</v>
      </c>
      <c r="B37" s="20">
        <f t="shared" ref="B37:M37" si="4">SUM(B19:B36)</f>
        <v>19285</v>
      </c>
      <c r="C37" s="20">
        <f t="shared" si="4"/>
        <v>14153</v>
      </c>
      <c r="D37" s="20">
        <f t="shared" si="4"/>
        <v>3488</v>
      </c>
      <c r="E37" s="20">
        <f t="shared" si="4"/>
        <v>3604</v>
      </c>
      <c r="F37" s="20">
        <f t="shared" si="4"/>
        <v>3441</v>
      </c>
      <c r="G37" s="20">
        <f t="shared" si="4"/>
        <v>3620</v>
      </c>
      <c r="H37" s="20">
        <f t="shared" si="4"/>
        <v>5132</v>
      </c>
      <c r="I37" s="20">
        <f t="shared" si="4"/>
        <v>1086</v>
      </c>
      <c r="J37" s="20">
        <f t="shared" si="4"/>
        <v>1014</v>
      </c>
      <c r="K37" s="20">
        <f t="shared" si="4"/>
        <v>1001</v>
      </c>
      <c r="L37" s="20">
        <f t="shared" si="4"/>
        <v>948</v>
      </c>
      <c r="M37" s="20">
        <f t="shared" si="4"/>
        <v>1083</v>
      </c>
    </row>
    <row r="38" spans="1:13" ht="12.75" customHeight="1" x14ac:dyDescent="0.2">
      <c r="A38" s="43"/>
    </row>
    <row r="39" spans="1:13" ht="12.75" customHeight="1" x14ac:dyDescent="0.2">
      <c r="A39" s="44" t="s">
        <v>47</v>
      </c>
      <c r="B39" s="20">
        <f t="shared" ref="B39:M39" si="5">B17+B37</f>
        <v>26333</v>
      </c>
      <c r="C39" s="20">
        <f t="shared" si="5"/>
        <v>19119</v>
      </c>
      <c r="D39" s="20">
        <f t="shared" si="5"/>
        <v>4681</v>
      </c>
      <c r="E39" s="20">
        <f t="shared" si="5"/>
        <v>4872</v>
      </c>
      <c r="F39" s="20">
        <f t="shared" si="5"/>
        <v>4692</v>
      </c>
      <c r="G39" s="20">
        <f t="shared" si="5"/>
        <v>4874</v>
      </c>
      <c r="H39" s="20">
        <f t="shared" si="5"/>
        <v>7214</v>
      </c>
      <c r="I39" s="20">
        <f t="shared" si="5"/>
        <v>1517</v>
      </c>
      <c r="J39" s="20">
        <f t="shared" si="5"/>
        <v>1425</v>
      </c>
      <c r="K39" s="20">
        <f t="shared" si="5"/>
        <v>1381</v>
      </c>
      <c r="L39" s="20">
        <f t="shared" si="5"/>
        <v>1338</v>
      </c>
      <c r="M39" s="20">
        <f t="shared" si="5"/>
        <v>1553</v>
      </c>
    </row>
    <row r="64" spans="1:1" ht="10.199999999999999" x14ac:dyDescent="0.2">
      <c r="A64" s="45"/>
    </row>
    <row r="65" ht="10.199999999999999" x14ac:dyDescent="0.2"/>
  </sheetData>
  <phoneticPr fontId="9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F5" sqref="F5"/>
    </sheetView>
  </sheetViews>
  <sheetFormatPr baseColWidth="10" defaultColWidth="8.42578125" defaultRowHeight="12.75" customHeight="1" x14ac:dyDescent="0.2"/>
  <cols>
    <col min="1" max="1" width="18.7109375" style="20" customWidth="1"/>
    <col min="2" max="3" width="8.140625" style="20" customWidth="1"/>
    <col min="4" max="7" width="7.7109375" style="20" customWidth="1"/>
    <col min="8" max="8" width="8.140625" style="20" customWidth="1"/>
    <col min="9" max="13" width="7.7109375" style="20" customWidth="1"/>
    <col min="14" max="16384" width="8.42578125" style="20"/>
  </cols>
  <sheetData>
    <row r="1" spans="1:13" ht="12.75" customHeight="1" x14ac:dyDescent="0.25">
      <c r="A1" s="1" t="s">
        <v>52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3" ht="12.75" customHeight="1" x14ac:dyDescent="0.25">
      <c r="A3" s="3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2.75" customHeight="1" x14ac:dyDescent="0.25">
      <c r="A4" s="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2.7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2.75" customHeight="1" x14ac:dyDescent="0.2">
      <c r="A6" s="24"/>
      <c r="B6" s="25" t="s">
        <v>3</v>
      </c>
      <c r="C6" s="26" t="s">
        <v>4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2.75" customHeight="1" x14ac:dyDescent="0.2">
      <c r="A7" s="24"/>
      <c r="B7" s="25" t="s">
        <v>5</v>
      </c>
      <c r="C7" s="27" t="s">
        <v>3</v>
      </c>
      <c r="D7" s="22" t="s">
        <v>6</v>
      </c>
      <c r="E7" s="22"/>
      <c r="F7" s="22"/>
      <c r="G7" s="28"/>
      <c r="H7" s="25" t="s">
        <v>7</v>
      </c>
      <c r="I7" s="22" t="s">
        <v>6</v>
      </c>
      <c r="J7" s="22"/>
      <c r="K7" s="22"/>
      <c r="L7" s="22"/>
      <c r="M7" s="22"/>
    </row>
    <row r="8" spans="1:13" ht="12.75" customHeight="1" x14ac:dyDescent="0.2">
      <c r="A8" s="29" t="s">
        <v>8</v>
      </c>
      <c r="B8" s="25" t="s">
        <v>9</v>
      </c>
      <c r="C8" s="27" t="s">
        <v>10</v>
      </c>
      <c r="D8" s="30"/>
      <c r="E8" s="30"/>
      <c r="F8" s="30"/>
      <c r="G8" s="31"/>
      <c r="H8" s="27" t="s">
        <v>10</v>
      </c>
      <c r="I8" s="32"/>
      <c r="J8" s="32"/>
      <c r="K8" s="32"/>
      <c r="L8" s="32"/>
      <c r="M8" s="32"/>
    </row>
    <row r="9" spans="1:13" ht="12.75" customHeight="1" x14ac:dyDescent="0.2">
      <c r="A9" s="28"/>
      <c r="B9" s="27" t="s">
        <v>10</v>
      </c>
      <c r="C9" s="69" t="s">
        <v>86</v>
      </c>
      <c r="D9" s="33" t="s">
        <v>11</v>
      </c>
      <c r="E9" s="33"/>
      <c r="F9" s="33"/>
      <c r="G9" s="34"/>
      <c r="H9" s="69" t="s">
        <v>86</v>
      </c>
      <c r="I9" s="33" t="s">
        <v>11</v>
      </c>
      <c r="J9" s="33"/>
      <c r="K9" s="33"/>
      <c r="L9" s="33"/>
      <c r="M9" s="33"/>
    </row>
    <row r="10" spans="1:13" ht="12.75" customHeight="1" x14ac:dyDescent="0.2">
      <c r="A10" s="35"/>
      <c r="B10" s="36" t="s">
        <v>12</v>
      </c>
      <c r="C10" s="70" t="s">
        <v>87</v>
      </c>
      <c r="D10" s="37" t="s">
        <v>13</v>
      </c>
      <c r="E10" s="37" t="s">
        <v>14</v>
      </c>
      <c r="F10" s="37" t="s">
        <v>15</v>
      </c>
      <c r="G10" s="38" t="s">
        <v>16</v>
      </c>
      <c r="H10" s="70" t="s">
        <v>87</v>
      </c>
      <c r="I10" s="37" t="s">
        <v>17</v>
      </c>
      <c r="J10" s="37" t="s">
        <v>18</v>
      </c>
      <c r="K10" s="37" t="s">
        <v>19</v>
      </c>
      <c r="L10" s="37" t="s">
        <v>20</v>
      </c>
      <c r="M10" s="39" t="s">
        <v>21</v>
      </c>
    </row>
    <row r="11" spans="1:13" ht="12.75" customHeight="1" x14ac:dyDescent="0.2">
      <c r="A11" s="24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2.75" customHeight="1" x14ac:dyDescent="0.2">
      <c r="A12" s="29" t="s">
        <v>22</v>
      </c>
      <c r="B12" s="20">
        <f>C12+H12</f>
        <v>329</v>
      </c>
      <c r="C12" s="20">
        <f>SUM(D12:G12)</f>
        <v>329</v>
      </c>
      <c r="D12" s="20">
        <v>89</v>
      </c>
      <c r="E12" s="20">
        <v>74</v>
      </c>
      <c r="F12" s="20">
        <v>77</v>
      </c>
      <c r="G12" s="20">
        <v>89</v>
      </c>
      <c r="H12" s="20">
        <f>SUM(I12:M12)</f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3" ht="12.75" customHeight="1" x14ac:dyDescent="0.2">
      <c r="A13" s="29" t="s">
        <v>23</v>
      </c>
      <c r="B13" s="20">
        <f>C13+H13</f>
        <v>1171</v>
      </c>
      <c r="C13" s="20">
        <f>SUM(D13:G13)</f>
        <v>970</v>
      </c>
      <c r="D13" s="20">
        <v>229</v>
      </c>
      <c r="E13" s="20">
        <v>258</v>
      </c>
      <c r="F13" s="20">
        <v>233</v>
      </c>
      <c r="G13" s="20">
        <v>250</v>
      </c>
      <c r="H13" s="20">
        <f>SUM(I13:M13)</f>
        <v>201</v>
      </c>
      <c r="I13" s="20">
        <v>40</v>
      </c>
      <c r="J13" s="20">
        <v>38</v>
      </c>
      <c r="K13" s="20">
        <v>38</v>
      </c>
      <c r="L13" s="20">
        <v>45</v>
      </c>
      <c r="M13" s="20">
        <v>40</v>
      </c>
    </row>
    <row r="14" spans="1:13" ht="12.75" customHeight="1" x14ac:dyDescent="0.2">
      <c r="A14" s="29" t="s">
        <v>24</v>
      </c>
      <c r="B14" s="20">
        <f>C14+H14</f>
        <v>2269</v>
      </c>
      <c r="C14" s="20">
        <f>SUM(D14:G14)</f>
        <v>1630</v>
      </c>
      <c r="D14" s="20">
        <v>429</v>
      </c>
      <c r="E14" s="20">
        <v>420</v>
      </c>
      <c r="F14" s="20">
        <v>389</v>
      </c>
      <c r="G14" s="20">
        <v>392</v>
      </c>
      <c r="H14" s="20">
        <f>SUM(I14:M14)</f>
        <v>639</v>
      </c>
      <c r="I14" s="20">
        <v>153</v>
      </c>
      <c r="J14" s="20">
        <v>118</v>
      </c>
      <c r="K14" s="20">
        <v>127</v>
      </c>
      <c r="L14" s="20">
        <v>107</v>
      </c>
      <c r="M14" s="20">
        <v>134</v>
      </c>
    </row>
    <row r="15" spans="1:13" ht="12.75" customHeight="1" x14ac:dyDescent="0.2">
      <c r="A15" s="29" t="s">
        <v>25</v>
      </c>
      <c r="B15" s="20">
        <f>C15+H15</f>
        <v>1791</v>
      </c>
      <c r="C15" s="20">
        <f>SUM(D15:G15)</f>
        <v>1206</v>
      </c>
      <c r="D15" s="20">
        <v>294</v>
      </c>
      <c r="E15" s="20">
        <v>296</v>
      </c>
      <c r="F15" s="20">
        <v>301</v>
      </c>
      <c r="G15" s="20">
        <v>315</v>
      </c>
      <c r="H15" s="20">
        <f>SUM(I15:M15)</f>
        <v>585</v>
      </c>
      <c r="I15" s="20">
        <v>119</v>
      </c>
      <c r="J15" s="20">
        <v>91</v>
      </c>
      <c r="K15" s="20">
        <v>115</v>
      </c>
      <c r="L15" s="20">
        <v>115</v>
      </c>
      <c r="M15" s="20">
        <v>145</v>
      </c>
    </row>
    <row r="16" spans="1:13" ht="12.75" customHeight="1" x14ac:dyDescent="0.2">
      <c r="A16" s="29" t="s">
        <v>26</v>
      </c>
      <c r="B16" s="20">
        <f>C16+H16</f>
        <v>1696</v>
      </c>
      <c r="C16" s="20">
        <f>SUM(D16:G16)</f>
        <v>1029</v>
      </c>
      <c r="D16" s="20">
        <v>245</v>
      </c>
      <c r="E16" s="20">
        <v>264</v>
      </c>
      <c r="F16" s="20">
        <v>264</v>
      </c>
      <c r="G16" s="20">
        <v>256</v>
      </c>
      <c r="H16" s="20">
        <f>SUM(I16:M16)</f>
        <v>667</v>
      </c>
      <c r="I16" s="20">
        <v>131</v>
      </c>
      <c r="J16" s="20">
        <v>114</v>
      </c>
      <c r="K16" s="20">
        <v>128</v>
      </c>
      <c r="L16" s="20">
        <v>124</v>
      </c>
      <c r="M16" s="20">
        <v>170</v>
      </c>
    </row>
    <row r="17" spans="1:13" ht="12.75" customHeight="1" x14ac:dyDescent="0.2">
      <c r="A17" s="41" t="s">
        <v>27</v>
      </c>
      <c r="B17" s="20">
        <f>SUM(B12:B16)</f>
        <v>7256</v>
      </c>
      <c r="C17" s="20">
        <f t="shared" ref="C17:M17" si="0">SUM(C12:C16)</f>
        <v>5164</v>
      </c>
      <c r="D17" s="20">
        <f t="shared" si="0"/>
        <v>1286</v>
      </c>
      <c r="E17" s="20">
        <f t="shared" si="0"/>
        <v>1312</v>
      </c>
      <c r="F17" s="20">
        <f t="shared" si="0"/>
        <v>1264</v>
      </c>
      <c r="G17" s="20">
        <f t="shared" si="0"/>
        <v>1302</v>
      </c>
      <c r="H17" s="20">
        <f t="shared" si="0"/>
        <v>2092</v>
      </c>
      <c r="I17" s="20">
        <f t="shared" si="0"/>
        <v>443</v>
      </c>
      <c r="J17" s="20">
        <f t="shared" si="0"/>
        <v>361</v>
      </c>
      <c r="K17" s="20">
        <f t="shared" si="0"/>
        <v>408</v>
      </c>
      <c r="L17" s="20">
        <f t="shared" si="0"/>
        <v>391</v>
      </c>
      <c r="M17" s="20">
        <f t="shared" si="0"/>
        <v>489</v>
      </c>
    </row>
    <row r="18" spans="1:13" ht="12.75" customHeight="1" x14ac:dyDescent="0.2">
      <c r="A18" s="29"/>
    </row>
    <row r="19" spans="1:13" ht="12.75" customHeight="1" x14ac:dyDescent="0.2">
      <c r="A19" s="29" t="s">
        <v>28</v>
      </c>
      <c r="B19" s="20">
        <f t="shared" ref="B19:B34" si="1">C19+H19</f>
        <v>3281</v>
      </c>
      <c r="C19" s="20">
        <f>SUM(D19:G19)</f>
        <v>2446</v>
      </c>
      <c r="D19" s="42">
        <v>619</v>
      </c>
      <c r="E19" s="42">
        <v>610</v>
      </c>
      <c r="F19" s="42">
        <v>644</v>
      </c>
      <c r="G19" s="42">
        <v>573</v>
      </c>
      <c r="H19" s="20">
        <f>SUM(I19:M19)</f>
        <v>835</v>
      </c>
      <c r="I19" s="42">
        <v>173</v>
      </c>
      <c r="J19" s="42">
        <v>150</v>
      </c>
      <c r="K19" s="42">
        <v>165</v>
      </c>
      <c r="L19" s="42">
        <v>161</v>
      </c>
      <c r="M19" s="42">
        <v>186</v>
      </c>
    </row>
    <row r="20" spans="1:13" ht="12.75" customHeight="1" x14ac:dyDescent="0.2">
      <c r="A20" s="29" t="s">
        <v>29</v>
      </c>
      <c r="B20" s="20">
        <f t="shared" si="1"/>
        <v>256</v>
      </c>
      <c r="C20" s="20">
        <f t="shared" ref="C20:C35" si="2">SUM(D20:G20)</f>
        <v>256</v>
      </c>
      <c r="D20" s="20">
        <v>65</v>
      </c>
      <c r="E20" s="20">
        <v>57</v>
      </c>
      <c r="F20" s="20">
        <v>67</v>
      </c>
      <c r="G20" s="20">
        <v>67</v>
      </c>
      <c r="H20" s="20">
        <f t="shared" ref="H20:H35" si="3">SUM(I20:M20)</f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3" ht="12.75" customHeight="1" x14ac:dyDescent="0.2">
      <c r="A21" s="29" t="s">
        <v>30</v>
      </c>
      <c r="B21" s="20">
        <f t="shared" si="1"/>
        <v>435</v>
      </c>
      <c r="C21" s="20">
        <f t="shared" si="2"/>
        <v>435</v>
      </c>
      <c r="D21" s="20">
        <v>104</v>
      </c>
      <c r="E21" s="20">
        <v>108</v>
      </c>
      <c r="F21" s="20">
        <v>124</v>
      </c>
      <c r="G21" s="20">
        <v>99</v>
      </c>
      <c r="H21" s="20">
        <f t="shared" si="3"/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1:13" ht="12.75" customHeight="1" x14ac:dyDescent="0.2">
      <c r="A22" s="29" t="s">
        <v>31</v>
      </c>
      <c r="B22" s="20">
        <f t="shared" si="1"/>
        <v>763</v>
      </c>
      <c r="C22" s="20">
        <f t="shared" si="2"/>
        <v>648</v>
      </c>
      <c r="D22" s="20">
        <v>170</v>
      </c>
      <c r="E22" s="20">
        <v>165</v>
      </c>
      <c r="F22" s="20">
        <v>159</v>
      </c>
      <c r="G22" s="20">
        <v>154</v>
      </c>
      <c r="H22" s="20">
        <f t="shared" si="3"/>
        <v>115</v>
      </c>
      <c r="I22" s="20">
        <v>27</v>
      </c>
      <c r="J22" s="20">
        <v>23</v>
      </c>
      <c r="K22" s="20">
        <v>27</v>
      </c>
      <c r="L22" s="20">
        <v>18</v>
      </c>
      <c r="M22" s="20">
        <v>20</v>
      </c>
    </row>
    <row r="23" spans="1:13" ht="12.75" customHeight="1" x14ac:dyDescent="0.2">
      <c r="A23" s="29" t="s">
        <v>32</v>
      </c>
      <c r="B23" s="20">
        <f t="shared" si="1"/>
        <v>1231</v>
      </c>
      <c r="C23" s="20">
        <f t="shared" si="2"/>
        <v>838</v>
      </c>
      <c r="D23" s="20">
        <v>230</v>
      </c>
      <c r="E23" s="20">
        <v>211</v>
      </c>
      <c r="F23" s="20">
        <v>205</v>
      </c>
      <c r="G23" s="20">
        <v>192</v>
      </c>
      <c r="H23" s="20">
        <f t="shared" si="3"/>
        <v>393</v>
      </c>
      <c r="I23" s="20">
        <v>68</v>
      </c>
      <c r="J23" s="20">
        <v>80</v>
      </c>
      <c r="K23" s="20">
        <v>74</v>
      </c>
      <c r="L23" s="20">
        <v>67</v>
      </c>
      <c r="M23" s="20">
        <v>104</v>
      </c>
    </row>
    <row r="24" spans="1:13" ht="12.75" customHeight="1" x14ac:dyDescent="0.2">
      <c r="A24" s="29" t="s">
        <v>33</v>
      </c>
      <c r="B24" s="20">
        <f t="shared" si="1"/>
        <v>602</v>
      </c>
      <c r="C24" s="20">
        <f t="shared" si="2"/>
        <v>346</v>
      </c>
      <c r="D24" s="20">
        <v>80</v>
      </c>
      <c r="E24" s="20">
        <v>90</v>
      </c>
      <c r="F24" s="20">
        <v>92</v>
      </c>
      <c r="G24" s="20">
        <v>84</v>
      </c>
      <c r="H24" s="20">
        <f t="shared" si="3"/>
        <v>256</v>
      </c>
      <c r="I24" s="20">
        <v>54</v>
      </c>
      <c r="J24" s="20">
        <v>44</v>
      </c>
      <c r="K24" s="20">
        <v>44</v>
      </c>
      <c r="L24" s="20">
        <v>44</v>
      </c>
      <c r="M24" s="20">
        <v>70</v>
      </c>
    </row>
    <row r="25" spans="1:13" ht="12.75" customHeight="1" x14ac:dyDescent="0.2">
      <c r="A25" s="43" t="s">
        <v>34</v>
      </c>
      <c r="B25" s="20">
        <f t="shared" si="1"/>
        <v>1212</v>
      </c>
      <c r="C25" s="20">
        <f t="shared" si="2"/>
        <v>872</v>
      </c>
      <c r="D25" s="20">
        <v>209</v>
      </c>
      <c r="E25" s="20">
        <v>213</v>
      </c>
      <c r="F25" s="20">
        <v>237</v>
      </c>
      <c r="G25" s="20">
        <v>213</v>
      </c>
      <c r="H25" s="20">
        <f t="shared" si="3"/>
        <v>340</v>
      </c>
      <c r="I25" s="20">
        <v>63</v>
      </c>
      <c r="J25" s="20">
        <v>70</v>
      </c>
      <c r="K25" s="20">
        <v>56</v>
      </c>
      <c r="L25" s="20">
        <v>66</v>
      </c>
      <c r="M25" s="20">
        <v>85</v>
      </c>
    </row>
    <row r="26" spans="1:13" ht="12.75" customHeight="1" x14ac:dyDescent="0.2">
      <c r="A26" s="43" t="s">
        <v>35</v>
      </c>
      <c r="B26" s="20">
        <f t="shared" si="1"/>
        <v>1780</v>
      </c>
      <c r="C26" s="20">
        <f t="shared" si="2"/>
        <v>1145</v>
      </c>
      <c r="D26" s="20">
        <v>239</v>
      </c>
      <c r="E26" s="20">
        <v>299</v>
      </c>
      <c r="F26" s="20">
        <v>304</v>
      </c>
      <c r="G26" s="20">
        <v>303</v>
      </c>
      <c r="H26" s="20">
        <f t="shared" si="3"/>
        <v>635</v>
      </c>
      <c r="I26" s="20">
        <v>132</v>
      </c>
      <c r="J26" s="20">
        <v>111</v>
      </c>
      <c r="K26" s="20">
        <v>122</v>
      </c>
      <c r="L26" s="20">
        <v>132</v>
      </c>
      <c r="M26" s="20">
        <v>138</v>
      </c>
    </row>
    <row r="27" spans="1:13" ht="12.75" customHeight="1" x14ac:dyDescent="0.2">
      <c r="A27" s="43" t="s">
        <v>36</v>
      </c>
      <c r="B27" s="20">
        <f t="shared" si="1"/>
        <v>446</v>
      </c>
      <c r="C27" s="20">
        <f t="shared" si="2"/>
        <v>257</v>
      </c>
      <c r="D27" s="42">
        <v>65</v>
      </c>
      <c r="E27" s="42">
        <v>63</v>
      </c>
      <c r="F27" s="42">
        <v>65</v>
      </c>
      <c r="G27" s="42">
        <v>64</v>
      </c>
      <c r="H27" s="20">
        <f t="shared" si="3"/>
        <v>189</v>
      </c>
      <c r="I27" s="42">
        <v>46</v>
      </c>
      <c r="J27" s="42">
        <v>35</v>
      </c>
      <c r="K27" s="42">
        <v>39</v>
      </c>
      <c r="L27" s="42">
        <v>35</v>
      </c>
      <c r="M27" s="42">
        <v>34</v>
      </c>
    </row>
    <row r="28" spans="1:13" ht="12.75" customHeight="1" x14ac:dyDescent="0.2">
      <c r="A28" s="43" t="s">
        <v>37</v>
      </c>
      <c r="B28" s="20">
        <f t="shared" si="1"/>
        <v>299</v>
      </c>
      <c r="C28" s="20">
        <f t="shared" si="2"/>
        <v>299</v>
      </c>
      <c r="D28" s="20">
        <v>77</v>
      </c>
      <c r="E28" s="20">
        <v>72</v>
      </c>
      <c r="F28" s="20">
        <v>83</v>
      </c>
      <c r="G28" s="20">
        <v>67</v>
      </c>
      <c r="H28" s="20">
        <f t="shared" si="3"/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1:13" ht="12.75" customHeight="1" x14ac:dyDescent="0.2">
      <c r="A29" s="43" t="s">
        <v>38</v>
      </c>
      <c r="B29" s="20">
        <f t="shared" si="1"/>
        <v>486</v>
      </c>
      <c r="C29" s="20">
        <f t="shared" si="2"/>
        <v>359</v>
      </c>
      <c r="D29" s="20">
        <v>90</v>
      </c>
      <c r="E29" s="20">
        <v>82</v>
      </c>
      <c r="F29" s="20">
        <v>105</v>
      </c>
      <c r="G29" s="20">
        <v>82</v>
      </c>
      <c r="H29" s="20">
        <f t="shared" si="3"/>
        <v>127</v>
      </c>
      <c r="I29" s="20">
        <v>23</v>
      </c>
      <c r="J29" s="20">
        <v>19</v>
      </c>
      <c r="K29" s="20">
        <v>34</v>
      </c>
      <c r="L29" s="20">
        <v>34</v>
      </c>
      <c r="M29" s="20">
        <v>17</v>
      </c>
    </row>
    <row r="30" spans="1:13" ht="12.75" customHeight="1" x14ac:dyDescent="0.2">
      <c r="A30" s="43" t="s">
        <v>39</v>
      </c>
      <c r="B30" s="20">
        <f t="shared" si="1"/>
        <v>1116</v>
      </c>
      <c r="C30" s="20">
        <f t="shared" si="2"/>
        <v>902</v>
      </c>
      <c r="D30" s="20">
        <v>237</v>
      </c>
      <c r="E30" s="20">
        <v>215</v>
      </c>
      <c r="F30" s="20">
        <v>233</v>
      </c>
      <c r="G30" s="20">
        <v>217</v>
      </c>
      <c r="H30" s="20">
        <f t="shared" si="3"/>
        <v>214</v>
      </c>
      <c r="I30" s="20">
        <v>54</v>
      </c>
      <c r="J30" s="20">
        <v>43</v>
      </c>
      <c r="K30" s="20">
        <v>41</v>
      </c>
      <c r="L30" s="20">
        <v>46</v>
      </c>
      <c r="M30" s="20">
        <v>30</v>
      </c>
    </row>
    <row r="31" spans="1:13" ht="12.75" customHeight="1" x14ac:dyDescent="0.2">
      <c r="A31" s="43" t="s">
        <v>40</v>
      </c>
      <c r="B31" s="20">
        <f t="shared" si="1"/>
        <v>739</v>
      </c>
      <c r="C31" s="20">
        <f t="shared" si="2"/>
        <v>541</v>
      </c>
      <c r="D31" s="20">
        <v>144</v>
      </c>
      <c r="E31" s="20">
        <v>152</v>
      </c>
      <c r="F31" s="20">
        <v>114</v>
      </c>
      <c r="G31" s="20">
        <v>131</v>
      </c>
      <c r="H31" s="20">
        <f t="shared" si="3"/>
        <v>198</v>
      </c>
      <c r="I31" s="20">
        <v>44</v>
      </c>
      <c r="J31" s="20">
        <v>55</v>
      </c>
      <c r="K31" s="20">
        <v>37</v>
      </c>
      <c r="L31" s="20">
        <v>38</v>
      </c>
      <c r="M31" s="20">
        <v>24</v>
      </c>
    </row>
    <row r="32" spans="1:13" ht="12.75" customHeight="1" x14ac:dyDescent="0.2">
      <c r="A32" s="43" t="s">
        <v>41</v>
      </c>
      <c r="B32" s="20">
        <f t="shared" si="1"/>
        <v>785</v>
      </c>
      <c r="C32" s="20">
        <f t="shared" si="2"/>
        <v>579</v>
      </c>
      <c r="D32" s="20">
        <v>130</v>
      </c>
      <c r="E32" s="20">
        <v>156</v>
      </c>
      <c r="F32" s="20">
        <v>160</v>
      </c>
      <c r="G32" s="20">
        <v>133</v>
      </c>
      <c r="H32" s="20">
        <f t="shared" si="3"/>
        <v>206</v>
      </c>
      <c r="I32" s="20">
        <v>43</v>
      </c>
      <c r="J32" s="20">
        <v>43</v>
      </c>
      <c r="K32" s="20">
        <v>43</v>
      </c>
      <c r="L32" s="20">
        <v>42</v>
      </c>
      <c r="M32" s="20">
        <v>35</v>
      </c>
    </row>
    <row r="33" spans="1:13" ht="12.75" customHeight="1" x14ac:dyDescent="0.2">
      <c r="A33" s="43" t="s">
        <v>42</v>
      </c>
      <c r="B33" s="20">
        <f t="shared" si="1"/>
        <v>1892</v>
      </c>
      <c r="C33" s="20">
        <f t="shared" si="2"/>
        <v>1418</v>
      </c>
      <c r="D33" s="20">
        <v>347</v>
      </c>
      <c r="E33" s="20">
        <v>334</v>
      </c>
      <c r="F33" s="20">
        <v>367</v>
      </c>
      <c r="G33" s="20">
        <v>370</v>
      </c>
      <c r="H33" s="20">
        <f t="shared" si="3"/>
        <v>474</v>
      </c>
      <c r="I33" s="20">
        <v>90</v>
      </c>
      <c r="J33" s="20">
        <v>100</v>
      </c>
      <c r="K33" s="20">
        <v>83</v>
      </c>
      <c r="L33" s="20">
        <v>90</v>
      </c>
      <c r="M33" s="20">
        <v>111</v>
      </c>
    </row>
    <row r="34" spans="1:13" ht="12.75" customHeight="1" x14ac:dyDescent="0.2">
      <c r="A34" s="43" t="s">
        <v>43</v>
      </c>
      <c r="B34" s="20">
        <f t="shared" si="1"/>
        <v>411</v>
      </c>
      <c r="C34" s="20">
        <f t="shared" si="2"/>
        <v>291</v>
      </c>
      <c r="D34" s="20">
        <v>80</v>
      </c>
      <c r="E34" s="20">
        <v>77</v>
      </c>
      <c r="F34" s="20">
        <v>65</v>
      </c>
      <c r="G34" s="20">
        <v>69</v>
      </c>
      <c r="H34" s="20">
        <f t="shared" si="3"/>
        <v>120</v>
      </c>
      <c r="I34" s="20">
        <v>23</v>
      </c>
      <c r="J34" s="20">
        <v>20</v>
      </c>
      <c r="K34" s="20">
        <v>24</v>
      </c>
      <c r="L34" s="20">
        <v>17</v>
      </c>
      <c r="M34" s="20">
        <v>36</v>
      </c>
    </row>
    <row r="35" spans="1:13" ht="12.75" customHeight="1" x14ac:dyDescent="0.2">
      <c r="A35" s="43" t="s">
        <v>44</v>
      </c>
      <c r="B35" s="20">
        <f>C35+H35</f>
        <v>1712</v>
      </c>
      <c r="C35" s="20">
        <f t="shared" si="2"/>
        <v>1284</v>
      </c>
      <c r="D35" s="20">
        <v>305</v>
      </c>
      <c r="E35" s="20">
        <v>321</v>
      </c>
      <c r="F35" s="20">
        <v>341</v>
      </c>
      <c r="G35" s="20">
        <v>317</v>
      </c>
      <c r="H35" s="20">
        <f t="shared" si="3"/>
        <v>428</v>
      </c>
      <c r="I35" s="20">
        <v>104</v>
      </c>
      <c r="J35" s="20">
        <v>100</v>
      </c>
      <c r="K35" s="20">
        <v>70</v>
      </c>
      <c r="L35" s="20">
        <v>83</v>
      </c>
      <c r="M35" s="20">
        <v>71</v>
      </c>
    </row>
    <row r="36" spans="1:13" ht="12.75" customHeight="1" x14ac:dyDescent="0.2">
      <c r="A36" s="43" t="s">
        <v>45</v>
      </c>
      <c r="B36" s="20">
        <f>C36+H36</f>
        <v>1881</v>
      </c>
      <c r="C36" s="20">
        <f>SUM(D36:G36)</f>
        <v>1354</v>
      </c>
      <c r="D36" s="20">
        <v>335</v>
      </c>
      <c r="E36" s="20">
        <v>355</v>
      </c>
      <c r="F36" s="20">
        <v>329</v>
      </c>
      <c r="G36" s="20">
        <v>335</v>
      </c>
      <c r="H36" s="20">
        <f>SUM(I36:M36)</f>
        <v>527</v>
      </c>
      <c r="I36" s="20">
        <v>106</v>
      </c>
      <c r="J36" s="20">
        <v>108</v>
      </c>
      <c r="K36" s="20">
        <v>94</v>
      </c>
      <c r="L36" s="20">
        <v>121</v>
      </c>
      <c r="M36" s="20">
        <v>98</v>
      </c>
    </row>
    <row r="37" spans="1:13" ht="12.75" customHeight="1" x14ac:dyDescent="0.2">
      <c r="A37" s="44" t="s">
        <v>46</v>
      </c>
      <c r="B37" s="20">
        <f>SUM(B19:B36)</f>
        <v>19327</v>
      </c>
      <c r="C37" s="20">
        <f t="shared" ref="C37:M37" si="4">SUM(C19:C36)</f>
        <v>14270</v>
      </c>
      <c r="D37" s="20">
        <f t="shared" si="4"/>
        <v>3526</v>
      </c>
      <c r="E37" s="20">
        <f t="shared" si="4"/>
        <v>3580</v>
      </c>
      <c r="F37" s="20">
        <f t="shared" si="4"/>
        <v>3694</v>
      </c>
      <c r="G37" s="20">
        <f t="shared" si="4"/>
        <v>3470</v>
      </c>
      <c r="H37" s="20">
        <f t="shared" si="4"/>
        <v>5057</v>
      </c>
      <c r="I37" s="20">
        <f t="shared" si="4"/>
        <v>1050</v>
      </c>
      <c r="J37" s="20">
        <f t="shared" si="4"/>
        <v>1001</v>
      </c>
      <c r="K37" s="20">
        <f t="shared" si="4"/>
        <v>953</v>
      </c>
      <c r="L37" s="20">
        <f t="shared" si="4"/>
        <v>994</v>
      </c>
      <c r="M37" s="20">
        <f t="shared" si="4"/>
        <v>1059</v>
      </c>
    </row>
    <row r="38" spans="1:13" ht="12.75" customHeight="1" x14ac:dyDescent="0.2">
      <c r="A38" s="43"/>
    </row>
    <row r="39" spans="1:13" ht="12.75" customHeight="1" x14ac:dyDescent="0.2">
      <c r="A39" s="44" t="s">
        <v>47</v>
      </c>
      <c r="B39" s="20">
        <f>B17+B37</f>
        <v>26583</v>
      </c>
      <c r="C39" s="20">
        <f t="shared" ref="C39:M39" si="5">C17+C37</f>
        <v>19434</v>
      </c>
      <c r="D39" s="20">
        <f t="shared" si="5"/>
        <v>4812</v>
      </c>
      <c r="E39" s="20">
        <f t="shared" si="5"/>
        <v>4892</v>
      </c>
      <c r="F39" s="20">
        <f t="shared" si="5"/>
        <v>4958</v>
      </c>
      <c r="G39" s="20">
        <f t="shared" si="5"/>
        <v>4772</v>
      </c>
      <c r="H39" s="20">
        <f t="shared" si="5"/>
        <v>7149</v>
      </c>
      <c r="I39" s="20">
        <f t="shared" si="5"/>
        <v>1493</v>
      </c>
      <c r="J39" s="20">
        <f t="shared" si="5"/>
        <v>1362</v>
      </c>
      <c r="K39" s="20">
        <f t="shared" si="5"/>
        <v>1361</v>
      </c>
      <c r="L39" s="20">
        <f t="shared" si="5"/>
        <v>1385</v>
      </c>
      <c r="M39" s="20">
        <f t="shared" si="5"/>
        <v>1548</v>
      </c>
    </row>
    <row r="64" spans="1:1" ht="10.199999999999999" x14ac:dyDescent="0.2">
      <c r="A64" s="45"/>
    </row>
    <row r="65" ht="10.199999999999999" x14ac:dyDescent="0.2"/>
  </sheetData>
  <phoneticPr fontId="9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F5" sqref="F5"/>
    </sheetView>
  </sheetViews>
  <sheetFormatPr baseColWidth="10" defaultColWidth="8.42578125" defaultRowHeight="12.75" customHeight="1" x14ac:dyDescent="0.2"/>
  <cols>
    <col min="1" max="1" width="18.7109375" style="20" customWidth="1"/>
    <col min="2" max="3" width="8.140625" style="20" customWidth="1"/>
    <col min="4" max="7" width="7.7109375" style="20" customWidth="1"/>
    <col min="8" max="8" width="8.140625" style="20" customWidth="1"/>
    <col min="9" max="13" width="7.7109375" style="20" customWidth="1"/>
    <col min="14" max="16384" width="8.42578125" style="20"/>
  </cols>
  <sheetData>
    <row r="1" spans="1:13" ht="12.75" customHeight="1" x14ac:dyDescent="0.25">
      <c r="A1" s="1" t="s">
        <v>52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3" ht="12.75" customHeight="1" x14ac:dyDescent="0.25">
      <c r="A3" s="3" t="s">
        <v>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2.75" customHeight="1" x14ac:dyDescent="0.25">
      <c r="A4" s="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2.7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2.75" customHeight="1" x14ac:dyDescent="0.2">
      <c r="A6" s="24"/>
      <c r="B6" s="25" t="s">
        <v>3</v>
      </c>
      <c r="C6" s="26" t="s">
        <v>4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2.75" customHeight="1" x14ac:dyDescent="0.2">
      <c r="A7" s="24"/>
      <c r="B7" s="25" t="s">
        <v>5</v>
      </c>
      <c r="C7" s="27" t="s">
        <v>3</v>
      </c>
      <c r="D7" s="22" t="s">
        <v>6</v>
      </c>
      <c r="E7" s="22"/>
      <c r="F7" s="22"/>
      <c r="G7" s="28"/>
      <c r="H7" s="25" t="s">
        <v>7</v>
      </c>
      <c r="I7" s="22" t="s">
        <v>6</v>
      </c>
      <c r="J7" s="22"/>
      <c r="K7" s="22"/>
      <c r="L7" s="22"/>
      <c r="M7" s="22"/>
    </row>
    <row r="8" spans="1:13" ht="12.75" customHeight="1" x14ac:dyDescent="0.2">
      <c r="A8" s="29" t="s">
        <v>8</v>
      </c>
      <c r="B8" s="25" t="s">
        <v>9</v>
      </c>
      <c r="C8" s="27" t="s">
        <v>10</v>
      </c>
      <c r="D8" s="30"/>
      <c r="E8" s="30"/>
      <c r="F8" s="30"/>
      <c r="G8" s="31"/>
      <c r="H8" s="27" t="s">
        <v>10</v>
      </c>
      <c r="I8" s="32"/>
      <c r="J8" s="32"/>
      <c r="K8" s="32"/>
      <c r="L8" s="32"/>
      <c r="M8" s="32"/>
    </row>
    <row r="9" spans="1:13" ht="12.75" customHeight="1" x14ac:dyDescent="0.2">
      <c r="A9" s="28"/>
      <c r="B9" s="27" t="s">
        <v>10</v>
      </c>
      <c r="C9" s="69" t="s">
        <v>86</v>
      </c>
      <c r="D9" s="33" t="s">
        <v>11</v>
      </c>
      <c r="E9" s="33"/>
      <c r="F9" s="33"/>
      <c r="G9" s="34"/>
      <c r="H9" s="69" t="s">
        <v>86</v>
      </c>
      <c r="I9" s="33" t="s">
        <v>11</v>
      </c>
      <c r="J9" s="33"/>
      <c r="K9" s="33"/>
      <c r="L9" s="33"/>
      <c r="M9" s="33"/>
    </row>
    <row r="10" spans="1:13" ht="12.75" customHeight="1" x14ac:dyDescent="0.2">
      <c r="A10" s="35"/>
      <c r="B10" s="36" t="s">
        <v>12</v>
      </c>
      <c r="C10" s="70" t="s">
        <v>87</v>
      </c>
      <c r="D10" s="37" t="s">
        <v>13</v>
      </c>
      <c r="E10" s="37" t="s">
        <v>14</v>
      </c>
      <c r="F10" s="37" t="s">
        <v>15</v>
      </c>
      <c r="G10" s="38" t="s">
        <v>16</v>
      </c>
      <c r="H10" s="70" t="s">
        <v>87</v>
      </c>
      <c r="I10" s="37" t="s">
        <v>17</v>
      </c>
      <c r="J10" s="37" t="s">
        <v>18</v>
      </c>
      <c r="K10" s="37" t="s">
        <v>19</v>
      </c>
      <c r="L10" s="37" t="s">
        <v>20</v>
      </c>
      <c r="M10" s="39" t="s">
        <v>21</v>
      </c>
    </row>
    <row r="11" spans="1:13" ht="12.75" customHeight="1" x14ac:dyDescent="0.2">
      <c r="A11" s="24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2.75" customHeight="1" x14ac:dyDescent="0.2">
      <c r="A12" s="29" t="s">
        <v>22</v>
      </c>
      <c r="B12" s="20">
        <v>350</v>
      </c>
      <c r="C12" s="20">
        <v>350</v>
      </c>
      <c r="D12" s="20">
        <v>79</v>
      </c>
      <c r="E12" s="20">
        <v>85</v>
      </c>
      <c r="F12" s="20">
        <v>91</v>
      </c>
      <c r="G12" s="20">
        <v>95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3" ht="12.75" customHeight="1" x14ac:dyDescent="0.2">
      <c r="A13" s="29" t="s">
        <v>23</v>
      </c>
      <c r="B13" s="20">
        <v>1146</v>
      </c>
      <c r="C13" s="20">
        <v>958</v>
      </c>
      <c r="D13" s="20">
        <v>245</v>
      </c>
      <c r="E13" s="20">
        <v>238</v>
      </c>
      <c r="F13" s="20">
        <v>255</v>
      </c>
      <c r="G13" s="20">
        <v>220</v>
      </c>
      <c r="H13" s="20">
        <v>188</v>
      </c>
      <c r="I13" s="20">
        <v>36</v>
      </c>
      <c r="J13" s="20">
        <v>36</v>
      </c>
      <c r="K13" s="20">
        <v>46</v>
      </c>
      <c r="L13" s="20">
        <v>36</v>
      </c>
      <c r="M13" s="20">
        <v>34</v>
      </c>
    </row>
    <row r="14" spans="1:13" ht="12.75" customHeight="1" x14ac:dyDescent="0.2">
      <c r="A14" s="29" t="s">
        <v>24</v>
      </c>
      <c r="B14" s="20">
        <v>2279</v>
      </c>
      <c r="C14" s="20">
        <v>1642</v>
      </c>
      <c r="D14" s="20">
        <v>431</v>
      </c>
      <c r="E14" s="20">
        <v>411</v>
      </c>
      <c r="F14" s="20">
        <v>410</v>
      </c>
      <c r="G14" s="20">
        <v>390</v>
      </c>
      <c r="H14" s="20">
        <v>637</v>
      </c>
      <c r="I14" s="20">
        <v>127</v>
      </c>
      <c r="J14" s="20">
        <v>132</v>
      </c>
      <c r="K14" s="20">
        <v>120</v>
      </c>
      <c r="L14" s="20">
        <v>116</v>
      </c>
      <c r="M14" s="20">
        <v>142</v>
      </c>
    </row>
    <row r="15" spans="1:13" ht="12.75" customHeight="1" x14ac:dyDescent="0.2">
      <c r="A15" s="29" t="s">
        <v>25</v>
      </c>
      <c r="B15" s="20">
        <v>1883</v>
      </c>
      <c r="C15" s="20">
        <v>1239</v>
      </c>
      <c r="D15" s="20">
        <v>320</v>
      </c>
      <c r="E15" s="20">
        <v>311</v>
      </c>
      <c r="F15" s="20">
        <v>331</v>
      </c>
      <c r="G15" s="20">
        <v>277</v>
      </c>
      <c r="H15" s="20">
        <v>644</v>
      </c>
      <c r="I15" s="20">
        <v>107</v>
      </c>
      <c r="J15" s="20">
        <v>125</v>
      </c>
      <c r="K15" s="20">
        <v>119</v>
      </c>
      <c r="L15" s="20">
        <v>133</v>
      </c>
      <c r="M15" s="20">
        <v>160</v>
      </c>
    </row>
    <row r="16" spans="1:13" ht="12.75" customHeight="1" x14ac:dyDescent="0.2">
      <c r="A16" s="29" t="s">
        <v>26</v>
      </c>
      <c r="B16" s="20">
        <v>1747</v>
      </c>
      <c r="C16" s="20">
        <v>1109</v>
      </c>
      <c r="D16" s="20">
        <v>274</v>
      </c>
      <c r="E16" s="20">
        <v>300</v>
      </c>
      <c r="F16" s="20">
        <v>264</v>
      </c>
      <c r="G16" s="20">
        <v>271</v>
      </c>
      <c r="H16" s="20">
        <v>638</v>
      </c>
      <c r="I16" s="20">
        <v>119</v>
      </c>
      <c r="J16" s="20">
        <v>117</v>
      </c>
      <c r="K16" s="20">
        <v>122</v>
      </c>
      <c r="L16" s="20">
        <v>133</v>
      </c>
      <c r="M16" s="20">
        <v>147</v>
      </c>
    </row>
    <row r="17" spans="1:13" ht="12.75" customHeight="1" x14ac:dyDescent="0.2">
      <c r="A17" s="41" t="s">
        <v>27</v>
      </c>
      <c r="B17" s="20">
        <v>7405</v>
      </c>
      <c r="C17" s="20">
        <v>5298</v>
      </c>
      <c r="D17" s="20">
        <v>1349</v>
      </c>
      <c r="E17" s="20">
        <v>1345</v>
      </c>
      <c r="F17" s="20">
        <v>1351</v>
      </c>
      <c r="G17" s="20">
        <v>1253</v>
      </c>
      <c r="H17" s="20">
        <v>2107</v>
      </c>
      <c r="I17" s="20">
        <v>389</v>
      </c>
      <c r="J17" s="20">
        <v>410</v>
      </c>
      <c r="K17" s="20">
        <v>407</v>
      </c>
      <c r="L17" s="20">
        <v>418</v>
      </c>
      <c r="M17" s="20">
        <v>483</v>
      </c>
    </row>
    <row r="18" spans="1:13" ht="12.75" customHeight="1" x14ac:dyDescent="0.2">
      <c r="A18" s="29"/>
    </row>
    <row r="19" spans="1:13" ht="12.75" customHeight="1" x14ac:dyDescent="0.2">
      <c r="A19" s="29" t="s">
        <v>28</v>
      </c>
      <c r="B19" s="20">
        <v>3258</v>
      </c>
      <c r="C19" s="20">
        <v>2383</v>
      </c>
      <c r="D19" s="42">
        <v>566</v>
      </c>
      <c r="E19" s="42">
        <v>643</v>
      </c>
      <c r="F19" s="42">
        <v>615</v>
      </c>
      <c r="G19" s="42">
        <v>559</v>
      </c>
      <c r="H19" s="20">
        <v>875</v>
      </c>
      <c r="I19" s="42">
        <v>160</v>
      </c>
      <c r="J19" s="42">
        <v>165</v>
      </c>
      <c r="K19" s="42">
        <v>174</v>
      </c>
      <c r="L19" s="42">
        <v>152</v>
      </c>
      <c r="M19" s="42">
        <v>224</v>
      </c>
    </row>
    <row r="20" spans="1:13" ht="12.75" customHeight="1" x14ac:dyDescent="0.2">
      <c r="A20" s="29" t="s">
        <v>29</v>
      </c>
      <c r="B20" s="20">
        <v>248</v>
      </c>
      <c r="C20" s="20">
        <v>248</v>
      </c>
      <c r="D20" s="20">
        <v>52</v>
      </c>
      <c r="E20" s="20">
        <v>64</v>
      </c>
      <c r="F20" s="20">
        <v>65</v>
      </c>
      <c r="G20" s="20">
        <v>67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3" ht="12.75" customHeight="1" x14ac:dyDescent="0.2">
      <c r="A21" s="29" t="s">
        <v>30</v>
      </c>
      <c r="B21" s="20">
        <v>447</v>
      </c>
      <c r="C21" s="20">
        <v>447</v>
      </c>
      <c r="D21" s="20">
        <v>111</v>
      </c>
      <c r="E21" s="20">
        <v>135</v>
      </c>
      <c r="F21" s="20">
        <v>97</v>
      </c>
      <c r="G21" s="20">
        <v>104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1:13" ht="12.75" customHeight="1" x14ac:dyDescent="0.2">
      <c r="A22" s="29" t="s">
        <v>31</v>
      </c>
      <c r="B22" s="20">
        <v>792</v>
      </c>
      <c r="C22" s="20">
        <v>664</v>
      </c>
      <c r="D22" s="20">
        <v>168</v>
      </c>
      <c r="E22" s="20">
        <v>161</v>
      </c>
      <c r="F22" s="20">
        <v>170</v>
      </c>
      <c r="G22" s="20">
        <v>165</v>
      </c>
      <c r="H22" s="20">
        <v>128</v>
      </c>
      <c r="I22" s="20">
        <v>28</v>
      </c>
      <c r="J22" s="20">
        <v>34</v>
      </c>
      <c r="K22" s="20">
        <v>21</v>
      </c>
      <c r="L22" s="20">
        <v>24</v>
      </c>
      <c r="M22" s="20">
        <v>21</v>
      </c>
    </row>
    <row r="23" spans="1:13" ht="12.75" customHeight="1" x14ac:dyDescent="0.2">
      <c r="A23" s="29" t="s">
        <v>32</v>
      </c>
      <c r="B23" s="20">
        <v>1219</v>
      </c>
      <c r="C23" s="20">
        <v>817</v>
      </c>
      <c r="D23" s="20">
        <v>226</v>
      </c>
      <c r="E23" s="20">
        <v>203</v>
      </c>
      <c r="F23" s="20">
        <v>199</v>
      </c>
      <c r="G23" s="20">
        <v>189</v>
      </c>
      <c r="H23" s="20">
        <v>402</v>
      </c>
      <c r="I23" s="20">
        <v>77</v>
      </c>
      <c r="J23" s="20">
        <v>79</v>
      </c>
      <c r="K23" s="20">
        <v>68</v>
      </c>
      <c r="L23" s="20">
        <v>74</v>
      </c>
      <c r="M23" s="20">
        <v>104</v>
      </c>
    </row>
    <row r="24" spans="1:13" ht="12.75" customHeight="1" x14ac:dyDescent="0.2">
      <c r="A24" s="29" t="s">
        <v>33</v>
      </c>
      <c r="B24" s="20">
        <v>627</v>
      </c>
      <c r="C24" s="20">
        <v>371</v>
      </c>
      <c r="D24" s="20">
        <v>90</v>
      </c>
      <c r="E24" s="20">
        <v>93</v>
      </c>
      <c r="F24" s="20">
        <v>88</v>
      </c>
      <c r="G24" s="20">
        <v>100</v>
      </c>
      <c r="H24" s="20">
        <v>256</v>
      </c>
      <c r="I24" s="20">
        <v>48</v>
      </c>
      <c r="J24" s="20">
        <v>37</v>
      </c>
      <c r="K24" s="20">
        <v>48</v>
      </c>
      <c r="L24" s="20">
        <v>51</v>
      </c>
      <c r="M24" s="20">
        <v>72</v>
      </c>
    </row>
    <row r="25" spans="1:13" ht="12.75" customHeight="1" x14ac:dyDescent="0.2">
      <c r="A25" s="43" t="s">
        <v>34</v>
      </c>
      <c r="B25" s="20">
        <v>1203</v>
      </c>
      <c r="C25" s="20">
        <v>848</v>
      </c>
      <c r="D25" s="20">
        <v>211</v>
      </c>
      <c r="E25" s="20">
        <v>234</v>
      </c>
      <c r="F25" s="20">
        <v>214</v>
      </c>
      <c r="G25" s="20">
        <v>189</v>
      </c>
      <c r="H25" s="20">
        <v>355</v>
      </c>
      <c r="I25" s="20">
        <v>66</v>
      </c>
      <c r="J25" s="20">
        <v>66</v>
      </c>
      <c r="K25" s="20">
        <v>62</v>
      </c>
      <c r="L25" s="20">
        <v>85</v>
      </c>
      <c r="M25" s="20">
        <v>76</v>
      </c>
    </row>
    <row r="26" spans="1:13" ht="12.75" customHeight="1" x14ac:dyDescent="0.2">
      <c r="A26" s="43" t="s">
        <v>35</v>
      </c>
      <c r="B26" s="20">
        <v>1882</v>
      </c>
      <c r="C26" s="20">
        <v>1229</v>
      </c>
      <c r="D26" s="20">
        <v>298</v>
      </c>
      <c r="E26" s="20">
        <v>315</v>
      </c>
      <c r="F26" s="20">
        <v>301</v>
      </c>
      <c r="G26" s="20">
        <v>315</v>
      </c>
      <c r="H26" s="20">
        <v>653</v>
      </c>
      <c r="I26" s="20">
        <v>127</v>
      </c>
      <c r="J26" s="20">
        <v>119</v>
      </c>
      <c r="K26" s="20">
        <v>121</v>
      </c>
      <c r="L26" s="20">
        <v>120</v>
      </c>
      <c r="M26" s="20">
        <v>166</v>
      </c>
    </row>
    <row r="27" spans="1:13" ht="12.75" customHeight="1" x14ac:dyDescent="0.2">
      <c r="A27" s="43" t="s">
        <v>36</v>
      </c>
      <c r="B27" s="20">
        <v>430</v>
      </c>
      <c r="C27" s="20">
        <v>252</v>
      </c>
      <c r="D27" s="42">
        <v>60</v>
      </c>
      <c r="E27" s="42">
        <v>68</v>
      </c>
      <c r="F27" s="42">
        <v>73</v>
      </c>
      <c r="G27" s="42">
        <v>51</v>
      </c>
      <c r="H27" s="20">
        <v>178</v>
      </c>
      <c r="I27" s="42">
        <v>35</v>
      </c>
      <c r="J27" s="42">
        <v>38</v>
      </c>
      <c r="K27" s="42">
        <v>36</v>
      </c>
      <c r="L27" s="42">
        <v>32</v>
      </c>
      <c r="M27" s="42">
        <v>37</v>
      </c>
    </row>
    <row r="28" spans="1:13" ht="12.75" customHeight="1" x14ac:dyDescent="0.2">
      <c r="A28" s="43" t="s">
        <v>37</v>
      </c>
      <c r="B28" s="20">
        <v>303</v>
      </c>
      <c r="C28" s="20">
        <v>303</v>
      </c>
      <c r="D28" s="20">
        <v>69</v>
      </c>
      <c r="E28" s="20">
        <v>82</v>
      </c>
      <c r="F28" s="20">
        <v>68</v>
      </c>
      <c r="G28" s="20">
        <v>84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1:13" ht="12.75" customHeight="1" x14ac:dyDescent="0.2">
      <c r="A29" s="43" t="s">
        <v>38</v>
      </c>
      <c r="B29" s="20">
        <v>488</v>
      </c>
      <c r="C29" s="20">
        <v>362</v>
      </c>
      <c r="D29" s="20">
        <v>78</v>
      </c>
      <c r="E29" s="20">
        <v>99</v>
      </c>
      <c r="F29" s="20">
        <v>90</v>
      </c>
      <c r="G29" s="20">
        <v>95</v>
      </c>
      <c r="H29" s="20">
        <v>126</v>
      </c>
      <c r="I29" s="20">
        <v>22</v>
      </c>
      <c r="J29" s="20">
        <v>35</v>
      </c>
      <c r="K29" s="20">
        <v>30</v>
      </c>
      <c r="L29" s="20">
        <v>17</v>
      </c>
      <c r="M29" s="20">
        <v>22</v>
      </c>
    </row>
    <row r="30" spans="1:13" ht="12.75" customHeight="1" x14ac:dyDescent="0.2">
      <c r="A30" s="43" t="s">
        <v>39</v>
      </c>
      <c r="B30" s="20">
        <v>1021</v>
      </c>
      <c r="C30" s="20">
        <v>827</v>
      </c>
      <c r="D30" s="20">
        <v>192</v>
      </c>
      <c r="E30" s="20">
        <v>219</v>
      </c>
      <c r="F30" s="20">
        <v>202</v>
      </c>
      <c r="G30" s="20">
        <v>214</v>
      </c>
      <c r="H30" s="20">
        <v>194</v>
      </c>
      <c r="I30" s="20">
        <v>35</v>
      </c>
      <c r="J30" s="20">
        <v>40</v>
      </c>
      <c r="K30" s="20">
        <v>49</v>
      </c>
      <c r="L30" s="20">
        <v>38</v>
      </c>
      <c r="M30" s="20">
        <v>32</v>
      </c>
    </row>
    <row r="31" spans="1:13" ht="12.75" customHeight="1" x14ac:dyDescent="0.2">
      <c r="A31" s="43" t="s">
        <v>40</v>
      </c>
      <c r="B31" s="20">
        <v>719</v>
      </c>
      <c r="C31" s="20">
        <v>513</v>
      </c>
      <c r="D31" s="20">
        <v>142</v>
      </c>
      <c r="E31" s="20">
        <v>114</v>
      </c>
      <c r="F31" s="20">
        <v>135</v>
      </c>
      <c r="G31" s="20">
        <v>122</v>
      </c>
      <c r="H31" s="20">
        <v>206</v>
      </c>
      <c r="I31" s="20">
        <v>58</v>
      </c>
      <c r="J31" s="20">
        <v>41</v>
      </c>
      <c r="K31" s="20">
        <v>37</v>
      </c>
      <c r="L31" s="20">
        <v>35</v>
      </c>
      <c r="M31" s="20">
        <v>35</v>
      </c>
    </row>
    <row r="32" spans="1:13" ht="12.75" customHeight="1" x14ac:dyDescent="0.2">
      <c r="A32" s="43" t="s">
        <v>41</v>
      </c>
      <c r="B32" s="20">
        <v>765</v>
      </c>
      <c r="C32" s="20">
        <v>576</v>
      </c>
      <c r="D32" s="20">
        <v>150</v>
      </c>
      <c r="E32" s="20">
        <v>156</v>
      </c>
      <c r="F32" s="20">
        <v>134</v>
      </c>
      <c r="G32" s="20">
        <v>136</v>
      </c>
      <c r="H32" s="20">
        <v>189</v>
      </c>
      <c r="I32" s="20">
        <v>43</v>
      </c>
      <c r="J32" s="20">
        <v>38</v>
      </c>
      <c r="K32" s="20">
        <v>38</v>
      </c>
      <c r="L32" s="20">
        <v>35</v>
      </c>
      <c r="M32" s="20">
        <v>35</v>
      </c>
    </row>
    <row r="33" spans="1:13" ht="12.75" customHeight="1" x14ac:dyDescent="0.2">
      <c r="A33" s="43" t="s">
        <v>42</v>
      </c>
      <c r="B33" s="20">
        <v>1902</v>
      </c>
      <c r="C33" s="20">
        <v>1435</v>
      </c>
      <c r="D33" s="20">
        <v>335</v>
      </c>
      <c r="E33" s="20">
        <v>364</v>
      </c>
      <c r="F33" s="20">
        <v>395</v>
      </c>
      <c r="G33" s="20">
        <v>341</v>
      </c>
      <c r="H33" s="20">
        <v>467</v>
      </c>
      <c r="I33" s="20">
        <v>106</v>
      </c>
      <c r="J33" s="20">
        <v>76</v>
      </c>
      <c r="K33" s="20">
        <v>84</v>
      </c>
      <c r="L33" s="20">
        <v>95</v>
      </c>
      <c r="M33" s="20">
        <v>106</v>
      </c>
    </row>
    <row r="34" spans="1:13" ht="12.75" customHeight="1" x14ac:dyDescent="0.2">
      <c r="A34" s="43" t="s">
        <v>43</v>
      </c>
      <c r="B34" s="20">
        <v>437</v>
      </c>
      <c r="C34" s="20">
        <v>290</v>
      </c>
      <c r="D34" s="20">
        <v>79</v>
      </c>
      <c r="E34" s="20">
        <v>70</v>
      </c>
      <c r="F34" s="20">
        <v>80</v>
      </c>
      <c r="G34" s="20">
        <v>61</v>
      </c>
      <c r="H34" s="20">
        <v>147</v>
      </c>
      <c r="I34" s="20">
        <v>28</v>
      </c>
      <c r="J34" s="20">
        <v>25</v>
      </c>
      <c r="K34" s="20">
        <v>22</v>
      </c>
      <c r="L34" s="20">
        <v>38</v>
      </c>
      <c r="M34" s="20">
        <v>34</v>
      </c>
    </row>
    <row r="35" spans="1:13" ht="12.75" customHeight="1" x14ac:dyDescent="0.2">
      <c r="A35" s="43" t="s">
        <v>44</v>
      </c>
      <c r="B35" s="20">
        <v>1659</v>
      </c>
      <c r="C35" s="20">
        <v>1274</v>
      </c>
      <c r="D35" s="20">
        <v>293</v>
      </c>
      <c r="E35" s="20">
        <v>353</v>
      </c>
      <c r="F35" s="20">
        <v>322</v>
      </c>
      <c r="G35" s="20">
        <v>306</v>
      </c>
      <c r="H35" s="20">
        <v>385</v>
      </c>
      <c r="I35" s="20">
        <v>101</v>
      </c>
      <c r="J35" s="20">
        <v>67</v>
      </c>
      <c r="K35" s="20">
        <v>76</v>
      </c>
      <c r="L35" s="20">
        <v>74</v>
      </c>
      <c r="M35" s="20">
        <v>67</v>
      </c>
    </row>
    <row r="36" spans="1:13" ht="12.75" customHeight="1" x14ac:dyDescent="0.2">
      <c r="A36" s="43" t="s">
        <v>45</v>
      </c>
      <c r="B36" s="20">
        <v>1891</v>
      </c>
      <c r="C36" s="20">
        <v>1353</v>
      </c>
      <c r="D36" s="20">
        <v>348</v>
      </c>
      <c r="E36" s="20">
        <v>355</v>
      </c>
      <c r="F36" s="20">
        <v>359</v>
      </c>
      <c r="G36" s="20">
        <v>291</v>
      </c>
      <c r="H36" s="20">
        <v>538</v>
      </c>
      <c r="I36" s="20">
        <v>113</v>
      </c>
      <c r="J36" s="20">
        <v>107</v>
      </c>
      <c r="K36" s="20">
        <v>121</v>
      </c>
      <c r="L36" s="20">
        <v>101</v>
      </c>
      <c r="M36" s="20">
        <v>96</v>
      </c>
    </row>
    <row r="37" spans="1:13" ht="12.75" customHeight="1" x14ac:dyDescent="0.2">
      <c r="A37" s="44" t="s">
        <v>46</v>
      </c>
      <c r="B37" s="20">
        <v>19291</v>
      </c>
      <c r="C37" s="20">
        <v>14192</v>
      </c>
      <c r="D37" s="20">
        <v>3468</v>
      </c>
      <c r="E37" s="20">
        <v>3728</v>
      </c>
      <c r="F37" s="20">
        <v>3607</v>
      </c>
      <c r="G37" s="20">
        <v>3389</v>
      </c>
      <c r="H37" s="20">
        <v>5099</v>
      </c>
      <c r="I37" s="20">
        <v>1047</v>
      </c>
      <c r="J37" s="20">
        <v>967</v>
      </c>
      <c r="K37" s="20">
        <v>987</v>
      </c>
      <c r="L37" s="20">
        <v>971</v>
      </c>
      <c r="M37" s="20">
        <v>1127</v>
      </c>
    </row>
    <row r="38" spans="1:13" ht="12.75" customHeight="1" x14ac:dyDescent="0.2">
      <c r="A38" s="43"/>
    </row>
    <row r="39" spans="1:13" ht="12.75" customHeight="1" x14ac:dyDescent="0.2">
      <c r="A39" s="44" t="s">
        <v>47</v>
      </c>
      <c r="B39" s="20">
        <v>26696</v>
      </c>
      <c r="C39" s="20">
        <v>19490</v>
      </c>
      <c r="D39" s="20">
        <v>4817</v>
      </c>
      <c r="E39" s="20">
        <v>5073</v>
      </c>
      <c r="F39" s="20">
        <v>4958</v>
      </c>
      <c r="G39" s="20">
        <v>4642</v>
      </c>
      <c r="H39" s="20">
        <v>7206</v>
      </c>
      <c r="I39" s="20">
        <v>1436</v>
      </c>
      <c r="J39" s="20">
        <v>1377</v>
      </c>
      <c r="K39" s="20">
        <v>1394</v>
      </c>
      <c r="L39" s="20">
        <v>1389</v>
      </c>
      <c r="M39" s="20">
        <v>1610</v>
      </c>
    </row>
    <row r="64" spans="1:1" ht="10.199999999999999" x14ac:dyDescent="0.2">
      <c r="A64" s="45"/>
    </row>
    <row r="65" ht="10.199999999999999" x14ac:dyDescent="0.2"/>
  </sheetData>
  <phoneticPr fontId="9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65"/>
  <sheetViews>
    <sheetView workbookViewId="0">
      <selection activeCell="F5" sqref="F5"/>
    </sheetView>
  </sheetViews>
  <sheetFormatPr baseColWidth="10" defaultColWidth="8.42578125" defaultRowHeight="12.75" customHeight="1" x14ac:dyDescent="0.2"/>
  <cols>
    <col min="1" max="1" width="18.7109375" style="20" customWidth="1"/>
    <col min="2" max="3" width="8.140625" style="20" customWidth="1"/>
    <col min="4" max="7" width="7.7109375" style="20" customWidth="1"/>
    <col min="8" max="8" width="8.140625" style="20" customWidth="1"/>
    <col min="9" max="13" width="7.7109375" style="20" customWidth="1"/>
    <col min="14" max="16384" width="8.42578125" style="20"/>
  </cols>
  <sheetData>
    <row r="1" spans="1:13" ht="12.75" customHeight="1" x14ac:dyDescent="0.25">
      <c r="A1" s="1" t="s">
        <v>52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3" ht="12.75" customHeight="1" x14ac:dyDescent="0.25">
      <c r="A3" s="3" t="s">
        <v>49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2.75" customHeight="1" x14ac:dyDescent="0.25">
      <c r="A4" s="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2.7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2.75" customHeight="1" x14ac:dyDescent="0.2">
      <c r="A6" s="24"/>
      <c r="B6" s="25" t="s">
        <v>3</v>
      </c>
      <c r="C6" s="26" t="s">
        <v>4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2.75" customHeight="1" x14ac:dyDescent="0.2">
      <c r="A7" s="24"/>
      <c r="B7" s="25" t="s">
        <v>5</v>
      </c>
      <c r="C7" s="27" t="s">
        <v>3</v>
      </c>
      <c r="D7" s="22" t="s">
        <v>6</v>
      </c>
      <c r="E7" s="22"/>
      <c r="F7" s="22"/>
      <c r="G7" s="28"/>
      <c r="H7" s="25" t="s">
        <v>7</v>
      </c>
      <c r="I7" s="22" t="s">
        <v>6</v>
      </c>
      <c r="J7" s="22"/>
      <c r="K7" s="22"/>
      <c r="L7" s="22"/>
      <c r="M7" s="22"/>
    </row>
    <row r="8" spans="1:13" ht="12.75" customHeight="1" x14ac:dyDescent="0.2">
      <c r="A8" s="29" t="s">
        <v>8</v>
      </c>
      <c r="B8" s="25" t="s">
        <v>9</v>
      </c>
      <c r="C8" s="27" t="s">
        <v>10</v>
      </c>
      <c r="D8" s="30"/>
      <c r="E8" s="30"/>
      <c r="F8" s="30"/>
      <c r="G8" s="31"/>
      <c r="H8" s="27" t="s">
        <v>10</v>
      </c>
      <c r="I8" s="32"/>
      <c r="J8" s="32"/>
      <c r="K8" s="32"/>
      <c r="L8" s="32"/>
      <c r="M8" s="32"/>
    </row>
    <row r="9" spans="1:13" ht="12.75" customHeight="1" x14ac:dyDescent="0.2">
      <c r="A9" s="28"/>
      <c r="B9" s="27" t="s">
        <v>10</v>
      </c>
      <c r="C9" s="69" t="s">
        <v>86</v>
      </c>
      <c r="D9" s="33" t="s">
        <v>11</v>
      </c>
      <c r="E9" s="33"/>
      <c r="F9" s="33"/>
      <c r="G9" s="34"/>
      <c r="H9" s="69" t="s">
        <v>86</v>
      </c>
      <c r="I9" s="33" t="s">
        <v>11</v>
      </c>
      <c r="J9" s="33"/>
      <c r="K9" s="33"/>
      <c r="L9" s="33"/>
      <c r="M9" s="33"/>
    </row>
    <row r="10" spans="1:13" ht="12.75" customHeight="1" x14ac:dyDescent="0.2">
      <c r="A10" s="35"/>
      <c r="B10" s="36" t="s">
        <v>12</v>
      </c>
      <c r="C10" s="70" t="s">
        <v>87</v>
      </c>
      <c r="D10" s="37" t="s">
        <v>13</v>
      </c>
      <c r="E10" s="37" t="s">
        <v>14</v>
      </c>
      <c r="F10" s="37" t="s">
        <v>15</v>
      </c>
      <c r="G10" s="38" t="s">
        <v>16</v>
      </c>
      <c r="H10" s="70" t="s">
        <v>87</v>
      </c>
      <c r="I10" s="37" t="s">
        <v>17</v>
      </c>
      <c r="J10" s="37" t="s">
        <v>18</v>
      </c>
      <c r="K10" s="37" t="s">
        <v>19</v>
      </c>
      <c r="L10" s="37" t="s">
        <v>20</v>
      </c>
      <c r="M10" s="39" t="s">
        <v>21</v>
      </c>
    </row>
    <row r="11" spans="1:13" ht="12.75" customHeight="1" x14ac:dyDescent="0.2">
      <c r="A11" s="24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2.75" customHeight="1" x14ac:dyDescent="0.2">
      <c r="A12" s="29" t="s">
        <v>22</v>
      </c>
      <c r="B12" s="20">
        <v>344</v>
      </c>
      <c r="C12" s="20">
        <v>344</v>
      </c>
      <c r="D12" s="20">
        <v>88</v>
      </c>
      <c r="E12" s="20">
        <v>99</v>
      </c>
      <c r="F12" s="20">
        <v>98</v>
      </c>
      <c r="G12" s="20">
        <v>59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3" ht="12.75" customHeight="1" x14ac:dyDescent="0.2">
      <c r="A13" s="29" t="s">
        <v>23</v>
      </c>
      <c r="B13" s="20">
        <v>1206</v>
      </c>
      <c r="C13" s="20">
        <v>994</v>
      </c>
      <c r="D13" s="20">
        <v>250</v>
      </c>
      <c r="E13" s="20">
        <v>261</v>
      </c>
      <c r="F13" s="20">
        <v>252</v>
      </c>
      <c r="G13" s="20">
        <v>231</v>
      </c>
      <c r="H13" s="20">
        <v>212</v>
      </c>
      <c r="I13" s="20">
        <v>37</v>
      </c>
      <c r="J13" s="20">
        <v>47</v>
      </c>
      <c r="K13" s="20">
        <v>45</v>
      </c>
      <c r="L13" s="20">
        <v>41</v>
      </c>
      <c r="M13" s="20">
        <v>42</v>
      </c>
    </row>
    <row r="14" spans="1:13" ht="12.75" customHeight="1" x14ac:dyDescent="0.2">
      <c r="A14" s="29" t="s">
        <v>24</v>
      </c>
      <c r="B14" s="20">
        <v>2310</v>
      </c>
      <c r="C14" s="20">
        <v>1654</v>
      </c>
      <c r="D14" s="20">
        <v>448</v>
      </c>
      <c r="E14" s="20">
        <v>412</v>
      </c>
      <c r="F14" s="20">
        <v>405</v>
      </c>
      <c r="G14" s="20">
        <v>389</v>
      </c>
      <c r="H14" s="20">
        <v>656</v>
      </c>
      <c r="I14" s="20">
        <v>133</v>
      </c>
      <c r="J14" s="20">
        <v>123</v>
      </c>
      <c r="K14" s="20">
        <v>109</v>
      </c>
      <c r="L14" s="20">
        <v>131</v>
      </c>
      <c r="M14" s="20">
        <v>160</v>
      </c>
    </row>
    <row r="15" spans="1:13" ht="12.75" customHeight="1" x14ac:dyDescent="0.2">
      <c r="A15" s="29" t="s">
        <v>25</v>
      </c>
      <c r="B15" s="20">
        <v>1929</v>
      </c>
      <c r="C15" s="20">
        <v>1223</v>
      </c>
      <c r="D15" s="20">
        <v>323</v>
      </c>
      <c r="E15" s="20">
        <v>340</v>
      </c>
      <c r="F15" s="20">
        <v>297</v>
      </c>
      <c r="G15" s="20">
        <v>263</v>
      </c>
      <c r="H15" s="20">
        <v>706</v>
      </c>
      <c r="I15" s="20">
        <v>137</v>
      </c>
      <c r="J15" s="20">
        <v>107</v>
      </c>
      <c r="K15" s="20">
        <v>135</v>
      </c>
      <c r="L15" s="20">
        <v>125</v>
      </c>
      <c r="M15" s="20">
        <v>202</v>
      </c>
    </row>
    <row r="16" spans="1:13" ht="12.75" customHeight="1" x14ac:dyDescent="0.2">
      <c r="A16" s="29" t="s">
        <v>26</v>
      </c>
      <c r="B16" s="20">
        <v>1817</v>
      </c>
      <c r="C16" s="20">
        <v>1158</v>
      </c>
      <c r="D16" s="20">
        <v>313</v>
      </c>
      <c r="E16" s="20">
        <v>275</v>
      </c>
      <c r="F16" s="20">
        <v>290</v>
      </c>
      <c r="G16" s="20">
        <v>280</v>
      </c>
      <c r="H16" s="20">
        <v>659</v>
      </c>
      <c r="I16" s="20">
        <v>124</v>
      </c>
      <c r="J16" s="20">
        <v>117</v>
      </c>
      <c r="K16" s="20">
        <v>131</v>
      </c>
      <c r="L16" s="20">
        <v>139</v>
      </c>
      <c r="M16" s="20">
        <v>148</v>
      </c>
    </row>
    <row r="17" spans="1:13" ht="12.75" customHeight="1" x14ac:dyDescent="0.2">
      <c r="A17" s="41" t="s">
        <v>27</v>
      </c>
      <c r="B17" s="20">
        <v>7606</v>
      </c>
      <c r="C17" s="20">
        <v>5373</v>
      </c>
      <c r="D17" s="20">
        <v>1422</v>
      </c>
      <c r="E17" s="20">
        <v>1387</v>
      </c>
      <c r="F17" s="20">
        <v>1342</v>
      </c>
      <c r="G17" s="20">
        <v>1222</v>
      </c>
      <c r="H17" s="20">
        <v>2233</v>
      </c>
      <c r="I17" s="20">
        <v>431</v>
      </c>
      <c r="J17" s="20">
        <v>394</v>
      </c>
      <c r="K17" s="20">
        <v>420</v>
      </c>
      <c r="L17" s="20">
        <v>436</v>
      </c>
      <c r="M17" s="20">
        <v>552</v>
      </c>
    </row>
    <row r="18" spans="1:13" ht="12.75" customHeight="1" x14ac:dyDescent="0.2">
      <c r="A18" s="29"/>
    </row>
    <row r="19" spans="1:13" ht="12.75" customHeight="1" x14ac:dyDescent="0.2">
      <c r="A19" s="29" t="s">
        <v>28</v>
      </c>
      <c r="B19" s="20">
        <v>3393</v>
      </c>
      <c r="C19" s="20">
        <v>2466</v>
      </c>
      <c r="D19" s="42">
        <v>652</v>
      </c>
      <c r="E19" s="42">
        <v>632</v>
      </c>
      <c r="F19" s="42">
        <v>585</v>
      </c>
      <c r="G19" s="42">
        <v>597</v>
      </c>
      <c r="H19" s="20">
        <v>927</v>
      </c>
      <c r="I19" s="42">
        <v>185</v>
      </c>
      <c r="J19" s="42">
        <v>176</v>
      </c>
      <c r="K19" s="42">
        <v>183</v>
      </c>
      <c r="L19" s="42">
        <v>179</v>
      </c>
      <c r="M19" s="42">
        <v>204</v>
      </c>
    </row>
    <row r="20" spans="1:13" ht="12.75" customHeight="1" x14ac:dyDescent="0.2">
      <c r="A20" s="29" t="s">
        <v>29</v>
      </c>
      <c r="B20" s="20">
        <v>248</v>
      </c>
      <c r="C20" s="20">
        <v>248</v>
      </c>
      <c r="D20" s="20">
        <v>64</v>
      </c>
      <c r="E20" s="20">
        <v>67</v>
      </c>
      <c r="F20" s="20">
        <v>70</v>
      </c>
      <c r="G20" s="20">
        <v>47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3" ht="12.75" customHeight="1" x14ac:dyDescent="0.2">
      <c r="A21" s="29" t="s">
        <v>30</v>
      </c>
      <c r="B21" s="20">
        <v>431</v>
      </c>
      <c r="C21" s="20">
        <v>431</v>
      </c>
      <c r="D21" s="20">
        <v>128</v>
      </c>
      <c r="E21" s="20">
        <v>91</v>
      </c>
      <c r="F21" s="20">
        <v>110</v>
      </c>
      <c r="G21" s="20">
        <v>102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1:13" ht="12.75" customHeight="1" x14ac:dyDescent="0.2">
      <c r="A22" s="29" t="s">
        <v>31</v>
      </c>
      <c r="B22" s="20">
        <v>796</v>
      </c>
      <c r="C22" s="20">
        <v>659</v>
      </c>
      <c r="D22" s="20">
        <v>167</v>
      </c>
      <c r="E22" s="20">
        <v>174</v>
      </c>
      <c r="F22" s="20">
        <v>170</v>
      </c>
      <c r="G22" s="20">
        <v>148</v>
      </c>
      <c r="H22" s="20">
        <v>137</v>
      </c>
      <c r="I22" s="20">
        <v>33</v>
      </c>
      <c r="J22" s="20">
        <v>22</v>
      </c>
      <c r="K22" s="20">
        <v>36</v>
      </c>
      <c r="L22" s="20">
        <v>21</v>
      </c>
      <c r="M22" s="20">
        <v>25</v>
      </c>
    </row>
    <row r="23" spans="1:13" ht="12.75" customHeight="1" x14ac:dyDescent="0.2">
      <c r="A23" s="29" t="s">
        <v>32</v>
      </c>
      <c r="B23" s="20">
        <v>1244</v>
      </c>
      <c r="C23" s="20">
        <v>846</v>
      </c>
      <c r="D23" s="20">
        <v>216</v>
      </c>
      <c r="E23" s="20">
        <v>212</v>
      </c>
      <c r="F23" s="20">
        <v>211</v>
      </c>
      <c r="G23" s="20">
        <v>207</v>
      </c>
      <c r="H23" s="20">
        <v>398</v>
      </c>
      <c r="I23" s="20">
        <v>68</v>
      </c>
      <c r="J23" s="20">
        <v>58</v>
      </c>
      <c r="K23" s="20">
        <v>76</v>
      </c>
      <c r="L23" s="20">
        <v>84</v>
      </c>
      <c r="M23" s="20">
        <v>112</v>
      </c>
    </row>
    <row r="24" spans="1:13" ht="12.75" customHeight="1" x14ac:dyDescent="0.2">
      <c r="A24" s="29" t="s">
        <v>33</v>
      </c>
      <c r="B24" s="20">
        <v>613</v>
      </c>
      <c r="C24" s="20">
        <v>363</v>
      </c>
      <c r="D24" s="20">
        <v>91</v>
      </c>
      <c r="E24" s="20">
        <v>85</v>
      </c>
      <c r="F24" s="20">
        <v>102</v>
      </c>
      <c r="G24" s="20">
        <v>85</v>
      </c>
      <c r="H24" s="20">
        <v>250</v>
      </c>
      <c r="I24" s="20">
        <v>38</v>
      </c>
      <c r="J24" s="20">
        <v>46</v>
      </c>
      <c r="K24" s="20">
        <v>40</v>
      </c>
      <c r="L24" s="20">
        <v>48</v>
      </c>
      <c r="M24" s="20">
        <v>78</v>
      </c>
    </row>
    <row r="25" spans="1:13" ht="12.75" customHeight="1" x14ac:dyDescent="0.2">
      <c r="A25" s="43" t="s">
        <v>34</v>
      </c>
      <c r="B25" s="20">
        <v>1223</v>
      </c>
      <c r="C25" s="20">
        <v>839</v>
      </c>
      <c r="D25" s="20">
        <v>227</v>
      </c>
      <c r="E25" s="20">
        <v>225</v>
      </c>
      <c r="F25" s="20">
        <v>197</v>
      </c>
      <c r="G25" s="20">
        <v>190</v>
      </c>
      <c r="H25" s="20">
        <v>384</v>
      </c>
      <c r="I25" s="20">
        <v>74</v>
      </c>
      <c r="J25" s="20">
        <v>62</v>
      </c>
      <c r="K25" s="20">
        <v>75</v>
      </c>
      <c r="L25" s="20">
        <v>83</v>
      </c>
      <c r="M25" s="20">
        <v>90</v>
      </c>
    </row>
    <row r="26" spans="1:13" ht="12.75" customHeight="1" x14ac:dyDescent="0.2">
      <c r="A26" s="43" t="s">
        <v>35</v>
      </c>
      <c r="B26" s="20">
        <v>1901</v>
      </c>
      <c r="C26" s="20">
        <v>1234</v>
      </c>
      <c r="D26" s="20">
        <v>311</v>
      </c>
      <c r="E26" s="20">
        <v>286</v>
      </c>
      <c r="F26" s="20">
        <v>330</v>
      </c>
      <c r="G26" s="20">
        <v>307</v>
      </c>
      <c r="H26" s="20">
        <v>667</v>
      </c>
      <c r="I26" s="20">
        <v>124</v>
      </c>
      <c r="J26" s="20">
        <v>117</v>
      </c>
      <c r="K26" s="20">
        <v>124</v>
      </c>
      <c r="L26" s="20">
        <v>149</v>
      </c>
      <c r="M26" s="20">
        <v>153</v>
      </c>
    </row>
    <row r="27" spans="1:13" ht="12.75" customHeight="1" x14ac:dyDescent="0.2">
      <c r="A27" s="43" t="s">
        <v>36</v>
      </c>
      <c r="B27" s="20">
        <v>440</v>
      </c>
      <c r="C27" s="20">
        <v>258</v>
      </c>
      <c r="D27" s="42">
        <v>68</v>
      </c>
      <c r="E27" s="42">
        <v>75</v>
      </c>
      <c r="F27" s="42">
        <v>51</v>
      </c>
      <c r="G27" s="42">
        <v>64</v>
      </c>
      <c r="H27" s="20">
        <v>182</v>
      </c>
      <c r="I27" s="42">
        <v>39</v>
      </c>
      <c r="J27" s="42">
        <v>34</v>
      </c>
      <c r="K27" s="42">
        <v>35</v>
      </c>
      <c r="L27" s="42">
        <v>41</v>
      </c>
      <c r="M27" s="42">
        <v>33</v>
      </c>
    </row>
    <row r="28" spans="1:13" ht="12.75" customHeight="1" x14ac:dyDescent="0.2">
      <c r="A28" s="43" t="s">
        <v>37</v>
      </c>
      <c r="B28" s="20">
        <v>310</v>
      </c>
      <c r="C28" s="20">
        <v>310</v>
      </c>
      <c r="D28" s="20">
        <v>80</v>
      </c>
      <c r="E28" s="20">
        <v>72</v>
      </c>
      <c r="F28" s="20">
        <v>86</v>
      </c>
      <c r="G28" s="20">
        <v>72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1:13" ht="12.75" customHeight="1" x14ac:dyDescent="0.2">
      <c r="A29" s="43" t="s">
        <v>38</v>
      </c>
      <c r="B29" s="20">
        <v>473</v>
      </c>
      <c r="C29" s="20">
        <v>345</v>
      </c>
      <c r="D29" s="20">
        <v>89</v>
      </c>
      <c r="E29" s="20">
        <v>85</v>
      </c>
      <c r="F29" s="20">
        <v>102</v>
      </c>
      <c r="G29" s="20">
        <v>69</v>
      </c>
      <c r="H29" s="20">
        <v>128</v>
      </c>
      <c r="I29" s="20">
        <v>35</v>
      </c>
      <c r="J29" s="20">
        <v>30</v>
      </c>
      <c r="K29" s="20">
        <v>20</v>
      </c>
      <c r="L29" s="20">
        <v>25</v>
      </c>
      <c r="M29" s="20">
        <v>18</v>
      </c>
    </row>
    <row r="30" spans="1:13" ht="12.75" customHeight="1" x14ac:dyDescent="0.2">
      <c r="A30" s="43" t="s">
        <v>39</v>
      </c>
      <c r="B30" s="20">
        <v>1054</v>
      </c>
      <c r="C30" s="20">
        <v>850</v>
      </c>
      <c r="D30" s="20">
        <v>233</v>
      </c>
      <c r="E30" s="20">
        <v>206</v>
      </c>
      <c r="F30" s="20">
        <v>221</v>
      </c>
      <c r="G30" s="20">
        <v>190</v>
      </c>
      <c r="H30" s="20">
        <v>204</v>
      </c>
      <c r="I30" s="20">
        <v>46</v>
      </c>
      <c r="J30" s="20">
        <v>50</v>
      </c>
      <c r="K30" s="20">
        <v>42</v>
      </c>
      <c r="L30" s="20">
        <v>32</v>
      </c>
      <c r="M30" s="20">
        <v>34</v>
      </c>
    </row>
    <row r="31" spans="1:13" ht="12.75" customHeight="1" x14ac:dyDescent="0.2">
      <c r="A31" s="43" t="s">
        <v>40</v>
      </c>
      <c r="B31" s="20">
        <v>690</v>
      </c>
      <c r="C31" s="20">
        <v>510</v>
      </c>
      <c r="D31" s="20">
        <v>112</v>
      </c>
      <c r="E31" s="20">
        <v>133</v>
      </c>
      <c r="F31" s="20">
        <v>127</v>
      </c>
      <c r="G31" s="20">
        <v>138</v>
      </c>
      <c r="H31" s="20">
        <v>180</v>
      </c>
      <c r="I31" s="20">
        <v>43</v>
      </c>
      <c r="J31" s="20">
        <v>37</v>
      </c>
      <c r="K31" s="20">
        <v>36</v>
      </c>
      <c r="L31" s="20">
        <v>35</v>
      </c>
      <c r="M31" s="20">
        <v>29</v>
      </c>
    </row>
    <row r="32" spans="1:13" ht="12.75" customHeight="1" x14ac:dyDescent="0.2">
      <c r="A32" s="43" t="s">
        <v>41</v>
      </c>
      <c r="B32" s="20">
        <v>812</v>
      </c>
      <c r="C32" s="20">
        <v>592</v>
      </c>
      <c r="D32" s="20">
        <v>161</v>
      </c>
      <c r="E32" s="20">
        <v>145</v>
      </c>
      <c r="F32" s="20">
        <v>156</v>
      </c>
      <c r="G32" s="20">
        <v>130</v>
      </c>
      <c r="H32" s="20">
        <v>220</v>
      </c>
      <c r="I32" s="20">
        <v>43</v>
      </c>
      <c r="J32" s="20">
        <v>41</v>
      </c>
      <c r="K32" s="20">
        <v>47</v>
      </c>
      <c r="L32" s="20">
        <v>42</v>
      </c>
      <c r="M32" s="20">
        <v>47</v>
      </c>
    </row>
    <row r="33" spans="1:13" ht="12.75" customHeight="1" x14ac:dyDescent="0.2">
      <c r="A33" s="43" t="s">
        <v>42</v>
      </c>
      <c r="B33" s="20">
        <v>1880</v>
      </c>
      <c r="C33" s="20">
        <v>1436</v>
      </c>
      <c r="D33" s="20">
        <v>365</v>
      </c>
      <c r="E33" s="20">
        <v>389</v>
      </c>
      <c r="F33" s="20">
        <v>353</v>
      </c>
      <c r="G33" s="20">
        <v>329</v>
      </c>
      <c r="H33" s="20">
        <v>444</v>
      </c>
      <c r="I33" s="20">
        <v>78</v>
      </c>
      <c r="J33" s="20">
        <v>79</v>
      </c>
      <c r="K33" s="20">
        <v>84</v>
      </c>
      <c r="L33" s="20">
        <v>80</v>
      </c>
      <c r="M33" s="20">
        <v>123</v>
      </c>
    </row>
    <row r="34" spans="1:13" ht="12.75" customHeight="1" x14ac:dyDescent="0.2">
      <c r="A34" s="43" t="s">
        <v>43</v>
      </c>
      <c r="B34" s="20">
        <v>447</v>
      </c>
      <c r="C34" s="20">
        <v>294</v>
      </c>
      <c r="D34" s="20">
        <v>82</v>
      </c>
      <c r="E34" s="20">
        <v>74</v>
      </c>
      <c r="F34" s="20">
        <v>70</v>
      </c>
      <c r="G34" s="20">
        <v>68</v>
      </c>
      <c r="H34" s="20">
        <v>153</v>
      </c>
      <c r="I34" s="20">
        <v>33</v>
      </c>
      <c r="J34" s="20">
        <v>18</v>
      </c>
      <c r="K34" s="20">
        <v>39</v>
      </c>
      <c r="L34" s="20">
        <v>38</v>
      </c>
      <c r="M34" s="20">
        <v>25</v>
      </c>
    </row>
    <row r="35" spans="1:13" ht="12.75" customHeight="1" x14ac:dyDescent="0.2">
      <c r="A35" s="43" t="s">
        <v>44</v>
      </c>
      <c r="B35" s="20">
        <v>1640</v>
      </c>
      <c r="C35" s="20">
        <v>1258</v>
      </c>
      <c r="D35" s="20">
        <v>335</v>
      </c>
      <c r="E35" s="20">
        <v>329</v>
      </c>
      <c r="F35" s="20">
        <v>313</v>
      </c>
      <c r="G35" s="20">
        <v>281</v>
      </c>
      <c r="H35" s="20">
        <v>382</v>
      </c>
      <c r="I35" s="20">
        <v>80</v>
      </c>
      <c r="J35" s="20">
        <v>78</v>
      </c>
      <c r="K35" s="20">
        <v>69</v>
      </c>
      <c r="L35" s="20">
        <v>71</v>
      </c>
      <c r="M35" s="20">
        <v>84</v>
      </c>
    </row>
    <row r="36" spans="1:13" ht="12.75" customHeight="1" x14ac:dyDescent="0.2">
      <c r="A36" s="43" t="s">
        <v>45</v>
      </c>
      <c r="B36" s="20">
        <v>1922</v>
      </c>
      <c r="C36" s="20">
        <v>1341</v>
      </c>
      <c r="D36" s="20">
        <v>345</v>
      </c>
      <c r="E36" s="20">
        <v>361</v>
      </c>
      <c r="F36" s="20">
        <v>291</v>
      </c>
      <c r="G36" s="20">
        <v>344</v>
      </c>
      <c r="H36" s="20">
        <v>581</v>
      </c>
      <c r="I36" s="20">
        <v>114</v>
      </c>
      <c r="J36" s="20">
        <v>126</v>
      </c>
      <c r="K36" s="20">
        <v>107</v>
      </c>
      <c r="L36" s="20">
        <v>110</v>
      </c>
      <c r="M36" s="20">
        <v>124</v>
      </c>
    </row>
    <row r="37" spans="1:13" ht="12.75" customHeight="1" x14ac:dyDescent="0.2">
      <c r="A37" s="44" t="s">
        <v>46</v>
      </c>
      <c r="B37" s="20">
        <v>19517</v>
      </c>
      <c r="C37" s="20">
        <v>14280</v>
      </c>
      <c r="D37" s="20">
        <v>3726</v>
      </c>
      <c r="E37" s="20">
        <v>3641</v>
      </c>
      <c r="F37" s="20">
        <v>3545</v>
      </c>
      <c r="G37" s="20">
        <v>3368</v>
      </c>
      <c r="H37" s="20">
        <v>5237</v>
      </c>
      <c r="I37" s="20">
        <v>1033</v>
      </c>
      <c r="J37" s="20">
        <v>974</v>
      </c>
      <c r="K37" s="20">
        <v>1013</v>
      </c>
      <c r="L37" s="20">
        <v>1038</v>
      </c>
      <c r="M37" s="20">
        <v>1179</v>
      </c>
    </row>
    <row r="38" spans="1:13" ht="12.75" customHeight="1" x14ac:dyDescent="0.2">
      <c r="A38" s="43"/>
    </row>
    <row r="39" spans="1:13" ht="12.75" customHeight="1" x14ac:dyDescent="0.2">
      <c r="A39" s="44" t="s">
        <v>47</v>
      </c>
      <c r="B39" s="20">
        <v>27123</v>
      </c>
      <c r="C39" s="20">
        <v>19653</v>
      </c>
      <c r="D39" s="20">
        <v>5148</v>
      </c>
      <c r="E39" s="20">
        <v>5028</v>
      </c>
      <c r="F39" s="20">
        <v>4887</v>
      </c>
      <c r="G39" s="20">
        <v>4590</v>
      </c>
      <c r="H39" s="20">
        <v>7470</v>
      </c>
      <c r="I39" s="20">
        <v>1464</v>
      </c>
      <c r="J39" s="20">
        <v>1368</v>
      </c>
      <c r="K39" s="20">
        <v>1433</v>
      </c>
      <c r="L39" s="20">
        <v>1474</v>
      </c>
      <c r="M39" s="20">
        <v>1731</v>
      </c>
    </row>
    <row r="64" spans="1:1" ht="10.199999999999999" x14ac:dyDescent="0.2">
      <c r="A64" s="45"/>
    </row>
    <row r="65" ht="10.199999999999999" x14ac:dyDescent="0.2"/>
  </sheetData>
  <phoneticPr fontId="9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65"/>
  <sheetViews>
    <sheetView workbookViewId="0">
      <selection activeCell="F5" sqref="F5"/>
    </sheetView>
  </sheetViews>
  <sheetFormatPr baseColWidth="10" defaultColWidth="8.42578125" defaultRowHeight="12.75" customHeight="1" x14ac:dyDescent="0.2"/>
  <cols>
    <col min="1" max="1" width="18.7109375" style="20" customWidth="1"/>
    <col min="2" max="3" width="8.140625" style="20" customWidth="1"/>
    <col min="4" max="7" width="7.7109375" style="20" customWidth="1"/>
    <col min="8" max="8" width="8.140625" style="20" customWidth="1"/>
    <col min="9" max="13" width="7.7109375" style="20" customWidth="1"/>
    <col min="14" max="16384" width="8.42578125" style="20"/>
  </cols>
  <sheetData>
    <row r="1" spans="1:13" ht="12.75" customHeight="1" x14ac:dyDescent="0.25">
      <c r="A1" s="1" t="s">
        <v>52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3" ht="12.75" customHeight="1" x14ac:dyDescent="0.25">
      <c r="A3" s="2" t="s">
        <v>50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2.75" customHeight="1" x14ac:dyDescent="0.25">
      <c r="A4" s="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2.7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2.75" customHeight="1" x14ac:dyDescent="0.2">
      <c r="A6" s="24"/>
      <c r="B6" s="25" t="s">
        <v>3</v>
      </c>
      <c r="C6" s="26" t="s">
        <v>4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2.75" customHeight="1" x14ac:dyDescent="0.2">
      <c r="A7" s="24"/>
      <c r="B7" s="25" t="s">
        <v>5</v>
      </c>
      <c r="C7" s="27" t="s">
        <v>3</v>
      </c>
      <c r="D7" s="22" t="s">
        <v>6</v>
      </c>
      <c r="E7" s="22"/>
      <c r="F7" s="22"/>
      <c r="G7" s="28"/>
      <c r="H7" s="25" t="s">
        <v>7</v>
      </c>
      <c r="I7" s="22" t="s">
        <v>6</v>
      </c>
      <c r="J7" s="22"/>
      <c r="K7" s="22"/>
      <c r="L7" s="22"/>
      <c r="M7" s="22"/>
    </row>
    <row r="8" spans="1:13" ht="12.75" customHeight="1" x14ac:dyDescent="0.2">
      <c r="A8" s="29" t="s">
        <v>8</v>
      </c>
      <c r="B8" s="25" t="s">
        <v>9</v>
      </c>
      <c r="C8" s="27" t="s">
        <v>10</v>
      </c>
      <c r="D8" s="30"/>
      <c r="E8" s="30"/>
      <c r="F8" s="30"/>
      <c r="G8" s="31"/>
      <c r="H8" s="27" t="s">
        <v>10</v>
      </c>
      <c r="I8" s="32"/>
      <c r="J8" s="32"/>
      <c r="K8" s="32"/>
      <c r="L8" s="32"/>
      <c r="M8" s="32"/>
    </row>
    <row r="9" spans="1:13" ht="12.75" customHeight="1" x14ac:dyDescent="0.2">
      <c r="A9" s="28"/>
      <c r="B9" s="27" t="s">
        <v>10</v>
      </c>
      <c r="C9" s="69" t="s">
        <v>86</v>
      </c>
      <c r="D9" s="33" t="s">
        <v>11</v>
      </c>
      <c r="E9" s="33"/>
      <c r="F9" s="33"/>
      <c r="G9" s="34"/>
      <c r="H9" s="69" t="s">
        <v>86</v>
      </c>
      <c r="I9" s="33" t="s">
        <v>11</v>
      </c>
      <c r="J9" s="33"/>
      <c r="K9" s="33"/>
      <c r="L9" s="33"/>
      <c r="M9" s="33"/>
    </row>
    <row r="10" spans="1:13" ht="12.75" customHeight="1" x14ac:dyDescent="0.2">
      <c r="A10" s="35"/>
      <c r="B10" s="36" t="s">
        <v>12</v>
      </c>
      <c r="C10" s="70" t="s">
        <v>87</v>
      </c>
      <c r="D10" s="37" t="s">
        <v>13</v>
      </c>
      <c r="E10" s="37" t="s">
        <v>14</v>
      </c>
      <c r="F10" s="37" t="s">
        <v>15</v>
      </c>
      <c r="G10" s="38" t="s">
        <v>16</v>
      </c>
      <c r="H10" s="70" t="s">
        <v>87</v>
      </c>
      <c r="I10" s="37" t="s">
        <v>17</v>
      </c>
      <c r="J10" s="37" t="s">
        <v>18</v>
      </c>
      <c r="K10" s="37" t="s">
        <v>19</v>
      </c>
      <c r="L10" s="37" t="s">
        <v>20</v>
      </c>
      <c r="M10" s="39" t="s">
        <v>21</v>
      </c>
    </row>
    <row r="11" spans="1:13" ht="12.75" customHeight="1" x14ac:dyDescent="0.2">
      <c r="A11" s="24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2.75" customHeight="1" x14ac:dyDescent="0.2">
      <c r="A12" s="29" t="s">
        <v>22</v>
      </c>
      <c r="B12" s="20">
        <f>SUM(C12+H12)</f>
        <v>351</v>
      </c>
      <c r="C12" s="20">
        <f>SUM(D12:G12)</f>
        <v>351</v>
      </c>
      <c r="D12" s="20">
        <v>104</v>
      </c>
      <c r="E12" s="20">
        <v>99</v>
      </c>
      <c r="F12" s="20">
        <v>74</v>
      </c>
      <c r="G12" s="20">
        <v>74</v>
      </c>
      <c r="H12" s="20">
        <f>SUM(I12:M12)</f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3" ht="12.75" customHeight="1" x14ac:dyDescent="0.2">
      <c r="A13" s="29" t="s">
        <v>23</v>
      </c>
      <c r="B13" s="20">
        <f>SUM(C13+H13)</f>
        <v>1169</v>
      </c>
      <c r="C13" s="20">
        <f>SUM(D13:G13)</f>
        <v>969</v>
      </c>
      <c r="D13" s="20">
        <v>265</v>
      </c>
      <c r="E13" s="20">
        <v>257</v>
      </c>
      <c r="F13" s="20">
        <v>242</v>
      </c>
      <c r="G13" s="20">
        <v>205</v>
      </c>
      <c r="H13" s="20">
        <f>SUM(I13:M13)</f>
        <v>200</v>
      </c>
      <c r="I13" s="20">
        <v>42</v>
      </c>
      <c r="J13" s="20">
        <v>43</v>
      </c>
      <c r="K13" s="20">
        <v>39</v>
      </c>
      <c r="L13" s="20">
        <v>42</v>
      </c>
      <c r="M13" s="20">
        <v>34</v>
      </c>
    </row>
    <row r="14" spans="1:13" ht="12.75" customHeight="1" x14ac:dyDescent="0.2">
      <c r="A14" s="29" t="s">
        <v>24</v>
      </c>
      <c r="B14" s="20">
        <f>SUM(C14+H14)</f>
        <v>2273</v>
      </c>
      <c r="C14" s="20">
        <f>SUM(D14:G14)</f>
        <v>1606</v>
      </c>
      <c r="D14" s="20">
        <v>431</v>
      </c>
      <c r="E14" s="20">
        <v>428</v>
      </c>
      <c r="F14" s="20">
        <v>411</v>
      </c>
      <c r="G14" s="20">
        <v>336</v>
      </c>
      <c r="H14" s="20">
        <f>SUM(I14:M14)</f>
        <v>667</v>
      </c>
      <c r="I14" s="20">
        <v>134</v>
      </c>
      <c r="J14" s="20">
        <v>117</v>
      </c>
      <c r="K14" s="20">
        <v>130</v>
      </c>
      <c r="L14" s="20">
        <v>141</v>
      </c>
      <c r="M14" s="20">
        <v>145</v>
      </c>
    </row>
    <row r="15" spans="1:13" ht="12.75" customHeight="1" x14ac:dyDescent="0.2">
      <c r="A15" s="29" t="s">
        <v>25</v>
      </c>
      <c r="B15" s="20">
        <f>SUM(C15+H15)</f>
        <v>1967</v>
      </c>
      <c r="C15" s="20">
        <f>SUM(D15:G15)</f>
        <v>1243</v>
      </c>
      <c r="D15" s="20">
        <v>350</v>
      </c>
      <c r="E15" s="20">
        <v>327</v>
      </c>
      <c r="F15" s="20">
        <v>270</v>
      </c>
      <c r="G15" s="20">
        <v>296</v>
      </c>
      <c r="H15" s="20">
        <f>SUM(I15:M15)</f>
        <v>724</v>
      </c>
      <c r="I15" s="20">
        <v>134</v>
      </c>
      <c r="J15" s="20">
        <v>118</v>
      </c>
      <c r="K15" s="20">
        <v>120</v>
      </c>
      <c r="L15" s="20">
        <v>172</v>
      </c>
      <c r="M15" s="20">
        <v>180</v>
      </c>
    </row>
    <row r="16" spans="1:13" ht="12.75" customHeight="1" x14ac:dyDescent="0.2">
      <c r="A16" s="29" t="s">
        <v>26</v>
      </c>
      <c r="B16" s="20">
        <f>SUM(C16+H16)</f>
        <v>1817</v>
      </c>
      <c r="C16" s="20">
        <f>SUM(D16:G16)</f>
        <v>1112</v>
      </c>
      <c r="D16" s="20">
        <v>279</v>
      </c>
      <c r="E16" s="20">
        <v>296</v>
      </c>
      <c r="F16" s="20">
        <v>279</v>
      </c>
      <c r="G16" s="20">
        <v>258</v>
      </c>
      <c r="H16" s="20">
        <f>SUM(I16:M16)</f>
        <v>705</v>
      </c>
      <c r="I16" s="20">
        <v>123</v>
      </c>
      <c r="J16" s="20">
        <v>125</v>
      </c>
      <c r="K16" s="20">
        <v>161</v>
      </c>
      <c r="L16" s="20">
        <v>132</v>
      </c>
      <c r="M16" s="20">
        <v>164</v>
      </c>
    </row>
    <row r="17" spans="1:13" ht="12.75" customHeight="1" x14ac:dyDescent="0.2">
      <c r="A17" s="41" t="s">
        <v>27</v>
      </c>
      <c r="B17" s="20">
        <f>SUM(B12:B16)</f>
        <v>7577</v>
      </c>
      <c r="C17" s="20">
        <f t="shared" ref="C17:M17" si="0">SUM(C12:C16)</f>
        <v>5281</v>
      </c>
      <c r="D17" s="20">
        <f t="shared" si="0"/>
        <v>1429</v>
      </c>
      <c r="E17" s="20">
        <f t="shared" si="0"/>
        <v>1407</v>
      </c>
      <c r="F17" s="20">
        <f t="shared" si="0"/>
        <v>1276</v>
      </c>
      <c r="G17" s="20">
        <f t="shared" si="0"/>
        <v>1169</v>
      </c>
      <c r="H17" s="20">
        <f t="shared" si="0"/>
        <v>2296</v>
      </c>
      <c r="I17" s="20">
        <f t="shared" si="0"/>
        <v>433</v>
      </c>
      <c r="J17" s="20">
        <f t="shared" si="0"/>
        <v>403</v>
      </c>
      <c r="K17" s="20">
        <f t="shared" si="0"/>
        <v>450</v>
      </c>
      <c r="L17" s="20">
        <f t="shared" si="0"/>
        <v>487</v>
      </c>
      <c r="M17" s="20">
        <f t="shared" si="0"/>
        <v>523</v>
      </c>
    </row>
    <row r="18" spans="1:13" ht="12.75" customHeight="1" x14ac:dyDescent="0.2">
      <c r="A18" s="29"/>
    </row>
    <row r="19" spans="1:13" ht="12.75" customHeight="1" x14ac:dyDescent="0.2">
      <c r="A19" s="29" t="s">
        <v>28</v>
      </c>
      <c r="B19" s="20">
        <f t="shared" ref="B19:B34" si="1">SUM(C19+H19)</f>
        <v>3254</v>
      </c>
      <c r="C19" s="20">
        <f t="shared" ref="C19:C34" si="2">SUM(D19:G19)</f>
        <v>2396</v>
      </c>
      <c r="D19" s="42">
        <v>649</v>
      </c>
      <c r="E19" s="42">
        <v>591</v>
      </c>
      <c r="F19" s="42">
        <v>615</v>
      </c>
      <c r="G19" s="42">
        <v>541</v>
      </c>
      <c r="H19" s="20">
        <f t="shared" ref="H19:H34" si="3">SUM(I19:M19)</f>
        <v>858</v>
      </c>
      <c r="I19" s="42">
        <v>191</v>
      </c>
      <c r="J19" s="42">
        <v>155</v>
      </c>
      <c r="K19" s="42">
        <v>197</v>
      </c>
      <c r="L19" s="42">
        <v>166</v>
      </c>
      <c r="M19" s="42">
        <v>149</v>
      </c>
    </row>
    <row r="20" spans="1:13" ht="12.75" customHeight="1" x14ac:dyDescent="0.2">
      <c r="A20" s="29" t="s">
        <v>29</v>
      </c>
      <c r="B20" s="20">
        <f t="shared" si="1"/>
        <v>259</v>
      </c>
      <c r="C20" s="20">
        <f t="shared" si="2"/>
        <v>259</v>
      </c>
      <c r="D20" s="20">
        <v>66</v>
      </c>
      <c r="E20" s="20">
        <v>71</v>
      </c>
      <c r="F20" s="20">
        <v>53</v>
      </c>
      <c r="G20" s="20">
        <v>69</v>
      </c>
      <c r="H20" s="20">
        <f t="shared" si="3"/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3" ht="12.75" customHeight="1" x14ac:dyDescent="0.2">
      <c r="A21" s="29" t="s">
        <v>30</v>
      </c>
      <c r="B21" s="20">
        <f t="shared" si="1"/>
        <v>427</v>
      </c>
      <c r="C21" s="20">
        <f t="shared" si="2"/>
        <v>427</v>
      </c>
      <c r="D21" s="20">
        <v>93</v>
      </c>
      <c r="E21" s="20">
        <v>113</v>
      </c>
      <c r="F21" s="20">
        <v>110</v>
      </c>
      <c r="G21" s="20">
        <v>111</v>
      </c>
      <c r="H21" s="20">
        <f t="shared" si="3"/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1:13" ht="12.75" customHeight="1" x14ac:dyDescent="0.2">
      <c r="A22" s="29" t="s">
        <v>31</v>
      </c>
      <c r="B22" s="20">
        <f t="shared" si="1"/>
        <v>779</v>
      </c>
      <c r="C22" s="20">
        <f t="shared" si="2"/>
        <v>645</v>
      </c>
      <c r="D22" s="20">
        <v>178</v>
      </c>
      <c r="E22" s="20">
        <v>170</v>
      </c>
      <c r="F22" s="20">
        <v>154</v>
      </c>
      <c r="G22" s="20">
        <v>143</v>
      </c>
      <c r="H22" s="20">
        <f t="shared" si="3"/>
        <v>134</v>
      </c>
      <c r="I22" s="20">
        <v>20</v>
      </c>
      <c r="J22" s="20">
        <v>36</v>
      </c>
      <c r="K22" s="20">
        <v>25</v>
      </c>
      <c r="L22" s="20">
        <v>34</v>
      </c>
      <c r="M22" s="20">
        <v>19</v>
      </c>
    </row>
    <row r="23" spans="1:13" ht="12.75" customHeight="1" x14ac:dyDescent="0.2">
      <c r="A23" s="29" t="s">
        <v>32</v>
      </c>
      <c r="B23" s="20">
        <f t="shared" si="1"/>
        <v>1238</v>
      </c>
      <c r="C23" s="20">
        <f t="shared" si="2"/>
        <v>827</v>
      </c>
      <c r="D23" s="20">
        <v>207</v>
      </c>
      <c r="E23" s="20">
        <v>217</v>
      </c>
      <c r="F23" s="20">
        <v>211</v>
      </c>
      <c r="G23" s="20">
        <v>192</v>
      </c>
      <c r="H23" s="20">
        <f t="shared" si="3"/>
        <v>411</v>
      </c>
      <c r="I23" s="20">
        <v>59</v>
      </c>
      <c r="J23" s="20">
        <v>73</v>
      </c>
      <c r="K23" s="20">
        <v>83</v>
      </c>
      <c r="L23" s="20">
        <v>88</v>
      </c>
      <c r="M23" s="20">
        <v>108</v>
      </c>
    </row>
    <row r="24" spans="1:13" ht="12.75" customHeight="1" x14ac:dyDescent="0.2">
      <c r="A24" s="29" t="s">
        <v>33</v>
      </c>
      <c r="B24" s="20">
        <f t="shared" si="1"/>
        <v>590</v>
      </c>
      <c r="C24" s="20">
        <f t="shared" si="2"/>
        <v>343</v>
      </c>
      <c r="D24" s="20">
        <v>82</v>
      </c>
      <c r="E24" s="20">
        <v>103</v>
      </c>
      <c r="F24" s="20">
        <v>82</v>
      </c>
      <c r="G24" s="20">
        <v>76</v>
      </c>
      <c r="H24" s="20">
        <f t="shared" si="3"/>
        <v>247</v>
      </c>
      <c r="I24" s="20">
        <v>40</v>
      </c>
      <c r="J24" s="20">
        <v>40</v>
      </c>
      <c r="K24" s="20">
        <v>47</v>
      </c>
      <c r="L24" s="20">
        <v>56</v>
      </c>
      <c r="M24" s="20">
        <v>64</v>
      </c>
    </row>
    <row r="25" spans="1:13" ht="12.75" customHeight="1" x14ac:dyDescent="0.2">
      <c r="A25" s="43" t="s">
        <v>34</v>
      </c>
      <c r="B25" s="20">
        <f t="shared" si="1"/>
        <v>1199</v>
      </c>
      <c r="C25" s="20">
        <f t="shared" si="2"/>
        <v>816</v>
      </c>
      <c r="D25" s="20">
        <v>230</v>
      </c>
      <c r="E25" s="20">
        <v>186</v>
      </c>
      <c r="F25" s="20">
        <v>204</v>
      </c>
      <c r="G25" s="20">
        <v>196</v>
      </c>
      <c r="H25" s="20">
        <f t="shared" si="3"/>
        <v>383</v>
      </c>
      <c r="I25" s="20">
        <v>63</v>
      </c>
      <c r="J25" s="20">
        <v>69</v>
      </c>
      <c r="K25" s="20">
        <v>83</v>
      </c>
      <c r="L25" s="20">
        <v>87</v>
      </c>
      <c r="M25" s="20">
        <v>81</v>
      </c>
    </row>
    <row r="26" spans="1:13" ht="12.75" customHeight="1" x14ac:dyDescent="0.2">
      <c r="A26" s="43" t="s">
        <v>35</v>
      </c>
      <c r="B26" s="20">
        <f t="shared" si="1"/>
        <v>1829</v>
      </c>
      <c r="C26" s="20">
        <f t="shared" si="2"/>
        <v>1159</v>
      </c>
      <c r="D26" s="20">
        <v>274</v>
      </c>
      <c r="E26" s="20">
        <v>313</v>
      </c>
      <c r="F26" s="20">
        <v>319</v>
      </c>
      <c r="G26" s="20">
        <v>253</v>
      </c>
      <c r="H26" s="20">
        <f t="shared" si="3"/>
        <v>670</v>
      </c>
      <c r="I26" s="20">
        <v>135</v>
      </c>
      <c r="J26" s="20">
        <v>132</v>
      </c>
      <c r="K26" s="20">
        <v>126</v>
      </c>
      <c r="L26" s="20">
        <v>132</v>
      </c>
      <c r="M26" s="20">
        <v>145</v>
      </c>
    </row>
    <row r="27" spans="1:13" ht="12.75" customHeight="1" x14ac:dyDescent="0.2">
      <c r="A27" s="43" t="s">
        <v>36</v>
      </c>
      <c r="B27" s="20">
        <f t="shared" si="1"/>
        <v>404</v>
      </c>
      <c r="C27" s="20">
        <f t="shared" si="2"/>
        <v>225</v>
      </c>
      <c r="D27" s="42">
        <v>72</v>
      </c>
      <c r="E27" s="42">
        <v>55</v>
      </c>
      <c r="F27" s="42">
        <v>64</v>
      </c>
      <c r="G27" s="42">
        <v>34</v>
      </c>
      <c r="H27" s="20">
        <f t="shared" si="3"/>
        <v>179</v>
      </c>
      <c r="I27" s="42">
        <v>38</v>
      </c>
      <c r="J27" s="42">
        <v>33</v>
      </c>
      <c r="K27" s="42">
        <v>38</v>
      </c>
      <c r="L27" s="42">
        <v>38</v>
      </c>
      <c r="M27" s="42">
        <v>32</v>
      </c>
    </row>
    <row r="28" spans="1:13" ht="12.75" customHeight="1" x14ac:dyDescent="0.2">
      <c r="A28" s="43" t="s">
        <v>37</v>
      </c>
      <c r="B28" s="20">
        <f t="shared" si="1"/>
        <v>304</v>
      </c>
      <c r="C28" s="20">
        <f t="shared" si="2"/>
        <v>304</v>
      </c>
      <c r="D28" s="20">
        <v>71</v>
      </c>
      <c r="E28" s="20">
        <v>86</v>
      </c>
      <c r="F28" s="20">
        <v>74</v>
      </c>
      <c r="G28" s="20">
        <v>73</v>
      </c>
      <c r="H28" s="20">
        <f t="shared" si="3"/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1:13" ht="12.75" customHeight="1" x14ac:dyDescent="0.2">
      <c r="A29" s="43" t="s">
        <v>38</v>
      </c>
      <c r="B29" s="20">
        <f t="shared" si="1"/>
        <v>437</v>
      </c>
      <c r="C29" s="20">
        <f t="shared" si="2"/>
        <v>316</v>
      </c>
      <c r="D29" s="20">
        <v>89</v>
      </c>
      <c r="E29" s="20">
        <v>93</v>
      </c>
      <c r="F29" s="20">
        <v>69</v>
      </c>
      <c r="G29" s="20">
        <v>65</v>
      </c>
      <c r="H29" s="20">
        <f t="shared" si="3"/>
        <v>121</v>
      </c>
      <c r="I29" s="20">
        <v>28</v>
      </c>
      <c r="J29" s="20">
        <v>21</v>
      </c>
      <c r="K29" s="20">
        <v>23</v>
      </c>
      <c r="L29" s="20">
        <v>21</v>
      </c>
      <c r="M29" s="20">
        <v>28</v>
      </c>
    </row>
    <row r="30" spans="1:13" ht="12.75" customHeight="1" x14ac:dyDescent="0.2">
      <c r="A30" s="43" t="s">
        <v>39</v>
      </c>
      <c r="B30" s="20">
        <f t="shared" si="1"/>
        <v>993</v>
      </c>
      <c r="C30" s="20">
        <f t="shared" si="2"/>
        <v>791</v>
      </c>
      <c r="D30" s="20">
        <v>202</v>
      </c>
      <c r="E30" s="20">
        <v>217</v>
      </c>
      <c r="F30" s="20">
        <v>213</v>
      </c>
      <c r="G30" s="20">
        <v>159</v>
      </c>
      <c r="H30" s="20">
        <f t="shared" si="3"/>
        <v>202</v>
      </c>
      <c r="I30" s="20">
        <v>56</v>
      </c>
      <c r="J30" s="20">
        <v>42</v>
      </c>
      <c r="K30" s="20">
        <v>35</v>
      </c>
      <c r="L30" s="20">
        <v>35</v>
      </c>
      <c r="M30" s="20">
        <v>34</v>
      </c>
    </row>
    <row r="31" spans="1:13" ht="12.75" customHeight="1" x14ac:dyDescent="0.2">
      <c r="A31" s="43" t="s">
        <v>40</v>
      </c>
      <c r="B31" s="20">
        <f t="shared" si="1"/>
        <v>688</v>
      </c>
      <c r="C31" s="20">
        <f t="shared" si="2"/>
        <v>507</v>
      </c>
      <c r="D31" s="20">
        <v>129</v>
      </c>
      <c r="E31" s="20">
        <v>114</v>
      </c>
      <c r="F31" s="20">
        <v>136</v>
      </c>
      <c r="G31" s="20">
        <v>128</v>
      </c>
      <c r="H31" s="20">
        <f t="shared" si="3"/>
        <v>181</v>
      </c>
      <c r="I31" s="20">
        <v>38</v>
      </c>
      <c r="J31" s="20">
        <v>35</v>
      </c>
      <c r="K31" s="20">
        <v>39</v>
      </c>
      <c r="L31" s="20">
        <v>35</v>
      </c>
      <c r="M31" s="20">
        <v>34</v>
      </c>
    </row>
    <row r="32" spans="1:13" ht="12.75" customHeight="1" x14ac:dyDescent="0.2">
      <c r="A32" s="43" t="s">
        <v>41</v>
      </c>
      <c r="B32" s="20">
        <f t="shared" si="1"/>
        <v>798</v>
      </c>
      <c r="C32" s="20">
        <f t="shared" si="2"/>
        <v>568</v>
      </c>
      <c r="D32" s="20">
        <v>149</v>
      </c>
      <c r="E32" s="20">
        <v>163</v>
      </c>
      <c r="F32" s="20">
        <v>137</v>
      </c>
      <c r="G32" s="20">
        <v>119</v>
      </c>
      <c r="H32" s="20">
        <f t="shared" si="3"/>
        <v>230</v>
      </c>
      <c r="I32" s="20">
        <v>42</v>
      </c>
      <c r="J32" s="20">
        <v>45</v>
      </c>
      <c r="K32" s="20">
        <v>39</v>
      </c>
      <c r="L32" s="20">
        <v>46</v>
      </c>
      <c r="M32" s="20">
        <v>58</v>
      </c>
    </row>
    <row r="33" spans="1:13" ht="12.75" customHeight="1" x14ac:dyDescent="0.2">
      <c r="A33" s="43" t="s">
        <v>42</v>
      </c>
      <c r="B33" s="20">
        <f t="shared" si="1"/>
        <v>1832</v>
      </c>
      <c r="C33" s="20">
        <f t="shared" si="2"/>
        <v>1389</v>
      </c>
      <c r="D33" s="20">
        <v>397</v>
      </c>
      <c r="E33" s="20">
        <v>345</v>
      </c>
      <c r="F33" s="20">
        <v>336</v>
      </c>
      <c r="G33" s="20">
        <v>311</v>
      </c>
      <c r="H33" s="20">
        <f t="shared" si="3"/>
        <v>443</v>
      </c>
      <c r="I33" s="20">
        <v>79</v>
      </c>
      <c r="J33" s="20">
        <v>81</v>
      </c>
      <c r="K33" s="20">
        <v>88</v>
      </c>
      <c r="L33" s="20">
        <v>78</v>
      </c>
      <c r="M33" s="20">
        <v>117</v>
      </c>
    </row>
    <row r="34" spans="1:13" ht="12.75" customHeight="1" x14ac:dyDescent="0.2">
      <c r="A34" s="43" t="s">
        <v>43</v>
      </c>
      <c r="B34" s="20">
        <f t="shared" si="1"/>
        <v>440</v>
      </c>
      <c r="C34" s="20">
        <f t="shared" si="2"/>
        <v>300</v>
      </c>
      <c r="D34" s="20">
        <v>74</v>
      </c>
      <c r="E34" s="20">
        <v>76</v>
      </c>
      <c r="F34" s="20">
        <v>75</v>
      </c>
      <c r="G34" s="20">
        <v>75</v>
      </c>
      <c r="H34" s="20">
        <f t="shared" si="3"/>
        <v>140</v>
      </c>
      <c r="I34" s="20">
        <v>17</v>
      </c>
      <c r="J34" s="20">
        <v>39</v>
      </c>
      <c r="K34" s="20">
        <v>40</v>
      </c>
      <c r="L34" s="20">
        <v>25</v>
      </c>
      <c r="M34" s="20">
        <v>19</v>
      </c>
    </row>
    <row r="35" spans="1:13" ht="12.75" customHeight="1" x14ac:dyDescent="0.2">
      <c r="A35" s="43" t="s">
        <v>44</v>
      </c>
      <c r="B35" s="20">
        <f>SUM(C35+H35)</f>
        <v>1615</v>
      </c>
      <c r="C35" s="20">
        <f>SUM(D35:G35)</f>
        <v>1194</v>
      </c>
      <c r="D35" s="20">
        <v>332</v>
      </c>
      <c r="E35" s="20">
        <v>316</v>
      </c>
      <c r="F35" s="20">
        <v>270</v>
      </c>
      <c r="G35" s="20">
        <v>276</v>
      </c>
      <c r="H35" s="20">
        <f>SUM(I35:M35)</f>
        <v>421</v>
      </c>
      <c r="I35" s="20">
        <v>84</v>
      </c>
      <c r="J35" s="20">
        <v>71</v>
      </c>
      <c r="K35" s="20">
        <v>71</v>
      </c>
      <c r="L35" s="20">
        <v>89</v>
      </c>
      <c r="M35" s="20">
        <v>106</v>
      </c>
    </row>
    <row r="36" spans="1:13" ht="12.75" customHeight="1" x14ac:dyDescent="0.2">
      <c r="A36" s="43" t="s">
        <v>45</v>
      </c>
      <c r="B36" s="20">
        <f>SUM(C36+H36)</f>
        <v>1947</v>
      </c>
      <c r="C36" s="20">
        <f>SUM(D36:G36)</f>
        <v>1385</v>
      </c>
      <c r="D36" s="20">
        <v>362</v>
      </c>
      <c r="E36" s="20">
        <v>331</v>
      </c>
      <c r="F36" s="20">
        <v>348</v>
      </c>
      <c r="G36" s="20">
        <v>344</v>
      </c>
      <c r="H36" s="20">
        <f>SUM(I36:M36)</f>
        <v>562</v>
      </c>
      <c r="I36" s="20">
        <v>126</v>
      </c>
      <c r="J36" s="20">
        <v>98</v>
      </c>
      <c r="K36" s="20">
        <v>100</v>
      </c>
      <c r="L36" s="20">
        <v>128</v>
      </c>
      <c r="M36" s="20">
        <v>110</v>
      </c>
    </row>
    <row r="37" spans="1:13" ht="12.75" customHeight="1" x14ac:dyDescent="0.2">
      <c r="A37" s="44" t="s">
        <v>46</v>
      </c>
      <c r="B37" s="20">
        <f t="shared" ref="B37:M37" si="4">SUM(B19:B36)</f>
        <v>19033</v>
      </c>
      <c r="C37" s="20">
        <f t="shared" si="4"/>
        <v>13851</v>
      </c>
      <c r="D37" s="20">
        <f t="shared" si="4"/>
        <v>3656</v>
      </c>
      <c r="E37" s="20">
        <f t="shared" si="4"/>
        <v>3560</v>
      </c>
      <c r="F37" s="20">
        <f t="shared" si="4"/>
        <v>3470</v>
      </c>
      <c r="G37" s="20">
        <f t="shared" si="4"/>
        <v>3165</v>
      </c>
      <c r="H37" s="20">
        <f t="shared" si="4"/>
        <v>5182</v>
      </c>
      <c r="I37" s="20">
        <f t="shared" si="4"/>
        <v>1016</v>
      </c>
      <c r="J37" s="20">
        <f t="shared" si="4"/>
        <v>970</v>
      </c>
      <c r="K37" s="20">
        <f t="shared" si="4"/>
        <v>1034</v>
      </c>
      <c r="L37" s="20">
        <f t="shared" si="4"/>
        <v>1058</v>
      </c>
      <c r="M37" s="20">
        <f t="shared" si="4"/>
        <v>1104</v>
      </c>
    </row>
    <row r="38" spans="1:13" ht="12.75" customHeight="1" x14ac:dyDescent="0.2">
      <c r="A38" s="43"/>
    </row>
    <row r="39" spans="1:13" ht="12.75" customHeight="1" x14ac:dyDescent="0.2">
      <c r="A39" s="44" t="s">
        <v>47</v>
      </c>
      <c r="B39" s="20">
        <f>SUM(B37+B17)</f>
        <v>26610</v>
      </c>
      <c r="C39" s="20">
        <f t="shared" ref="C39:M39" si="5">SUM(C37+C17)</f>
        <v>19132</v>
      </c>
      <c r="D39" s="20">
        <f t="shared" si="5"/>
        <v>5085</v>
      </c>
      <c r="E39" s="20">
        <f t="shared" si="5"/>
        <v>4967</v>
      </c>
      <c r="F39" s="20">
        <f t="shared" si="5"/>
        <v>4746</v>
      </c>
      <c r="G39" s="20">
        <f t="shared" si="5"/>
        <v>4334</v>
      </c>
      <c r="H39" s="20">
        <f t="shared" si="5"/>
        <v>7478</v>
      </c>
      <c r="I39" s="20">
        <f t="shared" si="5"/>
        <v>1449</v>
      </c>
      <c r="J39" s="20">
        <f t="shared" si="5"/>
        <v>1373</v>
      </c>
      <c r="K39" s="20">
        <f t="shared" si="5"/>
        <v>1484</v>
      </c>
      <c r="L39" s="20">
        <f t="shared" si="5"/>
        <v>1545</v>
      </c>
      <c r="M39" s="20">
        <f t="shared" si="5"/>
        <v>1627</v>
      </c>
    </row>
    <row r="64" spans="1:1" ht="10.199999999999999" x14ac:dyDescent="0.2">
      <c r="A64" s="45"/>
    </row>
    <row r="65" ht="10.199999999999999" x14ac:dyDescent="0.2"/>
  </sheetData>
  <phoneticPr fontId="9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Normal="100" workbookViewId="0">
      <selection activeCell="R7" sqref="R7"/>
    </sheetView>
  </sheetViews>
  <sheetFormatPr baseColWidth="10" defaultColWidth="8.42578125" defaultRowHeight="12.75" customHeight="1" x14ac:dyDescent="0.2"/>
  <cols>
    <col min="1" max="1" width="21.7109375" style="20" customWidth="1"/>
    <col min="2" max="2" width="9.140625" style="20" customWidth="1"/>
    <col min="3" max="3" width="8" style="20" customWidth="1"/>
    <col min="4" max="7" width="7.7109375" style="20" customWidth="1"/>
    <col min="8" max="8" width="9.140625" style="20" customWidth="1"/>
    <col min="9" max="13" width="7.7109375" style="20" customWidth="1"/>
    <col min="14" max="14" width="6.7109375" style="20" customWidth="1"/>
    <col min="15" max="15" width="7.7109375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26.7" customHeight="1" x14ac:dyDescent="0.25">
      <c r="A3" s="68" t="s">
        <v>114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14.7" customHeight="1" thickBot="1" x14ac:dyDescent="0.25">
      <c r="A5" s="80" t="s">
        <v>8</v>
      </c>
      <c r="B5" s="81" t="s">
        <v>90</v>
      </c>
      <c r="C5" s="47" t="s">
        <v>4</v>
      </c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4" ht="14.7" customHeight="1" thickBot="1" x14ac:dyDescent="0.25">
      <c r="A6" s="77"/>
      <c r="B6" s="77"/>
      <c r="C6" s="82" t="s">
        <v>85</v>
      </c>
      <c r="D6" s="77" t="s">
        <v>77</v>
      </c>
      <c r="E6" s="78"/>
      <c r="F6" s="78"/>
      <c r="G6" s="78"/>
      <c r="H6" s="82" t="s">
        <v>89</v>
      </c>
      <c r="I6" s="77" t="s">
        <v>77</v>
      </c>
      <c r="J6" s="78"/>
      <c r="K6" s="78"/>
      <c r="L6" s="78"/>
      <c r="M6" s="79"/>
    </row>
    <row r="7" spans="1:14" ht="14.7" customHeight="1" thickBot="1" x14ac:dyDescent="0.25">
      <c r="A7" s="77"/>
      <c r="B7" s="77"/>
      <c r="C7" s="77"/>
      <c r="D7" s="78"/>
      <c r="E7" s="78"/>
      <c r="F7" s="78"/>
      <c r="G7" s="78"/>
      <c r="H7" s="77"/>
      <c r="I7" s="78"/>
      <c r="J7" s="78"/>
      <c r="K7" s="78"/>
      <c r="L7" s="78"/>
      <c r="M7" s="79"/>
    </row>
    <row r="8" spans="1:14" ht="14.7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4.7" customHeight="1" thickBot="1" x14ac:dyDescent="0.25">
      <c r="A9" s="77"/>
      <c r="B9" s="77"/>
      <c r="C9" s="77"/>
      <c r="D9" s="61">
        <v>1</v>
      </c>
      <c r="E9" s="61">
        <v>2</v>
      </c>
      <c r="F9" s="61">
        <v>3</v>
      </c>
      <c r="G9" s="62">
        <v>4</v>
      </c>
      <c r="H9" s="77"/>
      <c r="I9" s="61">
        <v>5</v>
      </c>
      <c r="J9" s="61">
        <v>6</v>
      </c>
      <c r="K9" s="61">
        <v>7</v>
      </c>
      <c r="L9" s="61">
        <v>8</v>
      </c>
      <c r="M9" s="51" t="s">
        <v>21</v>
      </c>
    </row>
    <row r="10" spans="1:14" ht="12.75" customHeight="1" x14ac:dyDescent="0.2">
      <c r="A10" s="5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 t="s">
        <v>76</v>
      </c>
    </row>
    <row r="11" spans="1:14" ht="12.75" customHeight="1" x14ac:dyDescent="0.2">
      <c r="A11" s="53" t="s">
        <v>22</v>
      </c>
      <c r="B11" s="54">
        <v>236</v>
      </c>
      <c r="C11" s="54">
        <v>236</v>
      </c>
      <c r="D11" s="54">
        <v>76</v>
      </c>
      <c r="E11" s="54">
        <v>43</v>
      </c>
      <c r="F11" s="54">
        <v>59</v>
      </c>
      <c r="G11" s="21">
        <v>58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</row>
    <row r="12" spans="1:14" ht="12.75" customHeight="1" x14ac:dyDescent="0.2">
      <c r="A12" s="53" t="s">
        <v>23</v>
      </c>
      <c r="B12" s="54">
        <v>1098</v>
      </c>
      <c r="C12" s="54">
        <v>935</v>
      </c>
      <c r="D12" s="54">
        <v>268</v>
      </c>
      <c r="E12" s="54">
        <v>217</v>
      </c>
      <c r="F12" s="54">
        <v>232</v>
      </c>
      <c r="G12" s="21">
        <v>218</v>
      </c>
      <c r="H12" s="54">
        <v>163</v>
      </c>
      <c r="I12" s="54">
        <v>16</v>
      </c>
      <c r="J12" s="54">
        <v>18</v>
      </c>
      <c r="K12" s="54">
        <v>20</v>
      </c>
      <c r="L12" s="54">
        <v>34</v>
      </c>
      <c r="M12" s="54">
        <v>75</v>
      </c>
    </row>
    <row r="13" spans="1:14" ht="12.75" customHeight="1" x14ac:dyDescent="0.2">
      <c r="A13" s="53" t="s">
        <v>24</v>
      </c>
      <c r="B13" s="54">
        <v>1646</v>
      </c>
      <c r="C13" s="54">
        <v>1284</v>
      </c>
      <c r="D13" s="21">
        <v>347</v>
      </c>
      <c r="E13" s="21">
        <v>328</v>
      </c>
      <c r="F13" s="21">
        <v>297</v>
      </c>
      <c r="G13" s="21">
        <v>312</v>
      </c>
      <c r="H13" s="54">
        <v>362</v>
      </c>
      <c r="I13" s="21">
        <v>46</v>
      </c>
      <c r="J13" s="21">
        <v>51</v>
      </c>
      <c r="K13" s="21">
        <v>59</v>
      </c>
      <c r="L13" s="21">
        <v>67</v>
      </c>
      <c r="M13" s="21">
        <v>139</v>
      </c>
      <c r="N13" s="54"/>
    </row>
    <row r="14" spans="1:14" ht="12.75" customHeight="1" x14ac:dyDescent="0.2">
      <c r="A14" s="53" t="s">
        <v>25</v>
      </c>
      <c r="B14" s="54">
        <v>863</v>
      </c>
      <c r="C14" s="54">
        <v>863</v>
      </c>
      <c r="D14" s="21">
        <v>224</v>
      </c>
      <c r="E14" s="21">
        <v>229</v>
      </c>
      <c r="F14" s="21">
        <v>200</v>
      </c>
      <c r="G14" s="21">
        <v>210</v>
      </c>
      <c r="H14" s="54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</row>
    <row r="15" spans="1:14" ht="12.75" customHeight="1" x14ac:dyDescent="0.2">
      <c r="A15" s="53" t="s">
        <v>26</v>
      </c>
      <c r="B15" s="54">
        <v>972</v>
      </c>
      <c r="C15" s="54">
        <v>972</v>
      </c>
      <c r="D15" s="21">
        <v>240</v>
      </c>
      <c r="E15" s="21">
        <v>249</v>
      </c>
      <c r="F15" s="21">
        <v>234</v>
      </c>
      <c r="G15" s="21">
        <v>249</v>
      </c>
      <c r="H15" s="54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</row>
    <row r="16" spans="1:14" s="76" customFormat="1" ht="17.100000000000001" customHeight="1" x14ac:dyDescent="0.2">
      <c r="A16" s="73" t="s">
        <v>27</v>
      </c>
      <c r="B16" s="75">
        <f>SUM(B11:B15)</f>
        <v>4815</v>
      </c>
      <c r="C16" s="75">
        <f t="shared" ref="C16:M16" si="0">SUM(C11:C15)</f>
        <v>4290</v>
      </c>
      <c r="D16" s="75">
        <f t="shared" si="0"/>
        <v>1155</v>
      </c>
      <c r="E16" s="75">
        <f t="shared" si="0"/>
        <v>1066</v>
      </c>
      <c r="F16" s="75">
        <f t="shared" si="0"/>
        <v>1022</v>
      </c>
      <c r="G16" s="75">
        <f t="shared" si="0"/>
        <v>1047</v>
      </c>
      <c r="H16" s="75">
        <f t="shared" si="0"/>
        <v>525</v>
      </c>
      <c r="I16" s="75">
        <f t="shared" si="0"/>
        <v>62</v>
      </c>
      <c r="J16" s="75">
        <f t="shared" si="0"/>
        <v>69</v>
      </c>
      <c r="K16" s="75">
        <f t="shared" si="0"/>
        <v>79</v>
      </c>
      <c r="L16" s="75">
        <f t="shared" si="0"/>
        <v>101</v>
      </c>
      <c r="M16" s="75">
        <f t="shared" si="0"/>
        <v>214</v>
      </c>
    </row>
    <row r="17" spans="1:14" ht="12.75" customHeight="1" x14ac:dyDescent="0.2">
      <c r="A17" s="53" t="s">
        <v>28</v>
      </c>
      <c r="B17" s="54">
        <v>2242</v>
      </c>
      <c r="C17" s="54">
        <v>2242</v>
      </c>
      <c r="D17" s="54">
        <v>566</v>
      </c>
      <c r="E17" s="54">
        <v>573</v>
      </c>
      <c r="F17" s="54">
        <v>538</v>
      </c>
      <c r="G17" s="21">
        <v>565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</row>
    <row r="18" spans="1:14" ht="12.75" customHeight="1" x14ac:dyDescent="0.2">
      <c r="A18" s="53" t="s">
        <v>29</v>
      </c>
      <c r="B18" s="54">
        <v>224</v>
      </c>
      <c r="C18" s="54">
        <v>224</v>
      </c>
      <c r="D18" s="54">
        <v>57</v>
      </c>
      <c r="E18" s="54">
        <v>43</v>
      </c>
      <c r="F18" s="54">
        <v>59</v>
      </c>
      <c r="G18" s="21">
        <v>65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</row>
    <row r="19" spans="1:14" ht="12.75" customHeight="1" x14ac:dyDescent="0.2">
      <c r="A19" s="53" t="s">
        <v>30</v>
      </c>
      <c r="B19" s="54">
        <v>416</v>
      </c>
      <c r="C19" s="54">
        <v>416</v>
      </c>
      <c r="D19" s="54">
        <v>95</v>
      </c>
      <c r="E19" s="54">
        <v>109</v>
      </c>
      <c r="F19" s="54">
        <v>94</v>
      </c>
      <c r="G19" s="21">
        <v>118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</row>
    <row r="20" spans="1:14" ht="12.75" customHeight="1" x14ac:dyDescent="0.2">
      <c r="A20" s="53" t="s">
        <v>31</v>
      </c>
      <c r="B20" s="54">
        <v>543</v>
      </c>
      <c r="C20" s="54">
        <v>543</v>
      </c>
      <c r="D20" s="54">
        <v>145</v>
      </c>
      <c r="E20" s="54">
        <v>133</v>
      </c>
      <c r="F20" s="54">
        <v>141</v>
      </c>
      <c r="G20" s="21">
        <v>124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</row>
    <row r="21" spans="1:14" ht="12.75" customHeight="1" x14ac:dyDescent="0.2">
      <c r="A21" s="53" t="s">
        <v>32</v>
      </c>
      <c r="B21" s="54">
        <v>1103</v>
      </c>
      <c r="C21" s="54">
        <v>858</v>
      </c>
      <c r="D21" s="54">
        <v>218</v>
      </c>
      <c r="E21" s="54">
        <v>249</v>
      </c>
      <c r="F21" s="54">
        <v>204</v>
      </c>
      <c r="G21" s="21">
        <v>187</v>
      </c>
      <c r="H21" s="54">
        <v>245</v>
      </c>
      <c r="I21" s="54">
        <v>32</v>
      </c>
      <c r="J21" s="54">
        <v>33</v>
      </c>
      <c r="K21" s="54">
        <v>47</v>
      </c>
      <c r="L21" s="54">
        <v>40</v>
      </c>
      <c r="M21" s="54">
        <v>93</v>
      </c>
      <c r="N21" s="54"/>
    </row>
    <row r="22" spans="1:14" ht="12.75" customHeight="1" x14ac:dyDescent="0.2">
      <c r="A22" s="53" t="s">
        <v>33</v>
      </c>
      <c r="B22" s="54">
        <v>319</v>
      </c>
      <c r="C22" s="54">
        <v>319</v>
      </c>
      <c r="D22" s="54">
        <v>71</v>
      </c>
      <c r="E22" s="54">
        <v>76</v>
      </c>
      <c r="F22" s="54">
        <v>82</v>
      </c>
      <c r="G22" s="21">
        <v>90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/>
    </row>
    <row r="23" spans="1:14" ht="12.75" customHeight="1" x14ac:dyDescent="0.2">
      <c r="A23" s="53" t="s">
        <v>34</v>
      </c>
      <c r="B23" s="54">
        <v>840</v>
      </c>
      <c r="C23" s="54">
        <v>840</v>
      </c>
      <c r="D23" s="54">
        <v>238</v>
      </c>
      <c r="E23" s="54">
        <v>183</v>
      </c>
      <c r="F23" s="54">
        <v>203</v>
      </c>
      <c r="G23" s="21">
        <v>216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</row>
    <row r="24" spans="1:14" ht="12.75" customHeight="1" x14ac:dyDescent="0.2">
      <c r="A24" s="53" t="s">
        <v>35</v>
      </c>
      <c r="B24" s="54">
        <v>827</v>
      </c>
      <c r="C24" s="54">
        <v>827</v>
      </c>
      <c r="D24" s="54">
        <v>208</v>
      </c>
      <c r="E24" s="54">
        <v>202</v>
      </c>
      <c r="F24" s="54">
        <v>226</v>
      </c>
      <c r="G24" s="21">
        <v>191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</row>
    <row r="25" spans="1:14" ht="12.75" customHeight="1" x14ac:dyDescent="0.2">
      <c r="A25" s="53" t="s">
        <v>36</v>
      </c>
      <c r="B25" s="54">
        <v>179</v>
      </c>
      <c r="C25" s="54">
        <v>179</v>
      </c>
      <c r="D25" s="54">
        <v>49</v>
      </c>
      <c r="E25" s="54">
        <v>40</v>
      </c>
      <c r="F25" s="54">
        <v>43</v>
      </c>
      <c r="G25" s="21">
        <v>47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</row>
    <row r="26" spans="1:14" ht="12.75" customHeight="1" x14ac:dyDescent="0.2">
      <c r="A26" s="53" t="s">
        <v>37</v>
      </c>
      <c r="B26" s="54">
        <v>293</v>
      </c>
      <c r="C26" s="54">
        <v>293</v>
      </c>
      <c r="D26" s="54">
        <v>67</v>
      </c>
      <c r="E26" s="54">
        <v>71</v>
      </c>
      <c r="F26" s="54">
        <v>77</v>
      </c>
      <c r="G26" s="21">
        <v>78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</row>
    <row r="27" spans="1:14" ht="12.75" customHeight="1" x14ac:dyDescent="0.2">
      <c r="A27" s="53" t="s">
        <v>38</v>
      </c>
      <c r="B27" s="54">
        <v>272</v>
      </c>
      <c r="C27" s="54">
        <v>272</v>
      </c>
      <c r="D27" s="54">
        <v>73</v>
      </c>
      <c r="E27" s="54">
        <v>64</v>
      </c>
      <c r="F27" s="54">
        <v>65</v>
      </c>
      <c r="G27" s="21">
        <v>70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</row>
    <row r="28" spans="1:14" ht="12.75" customHeight="1" x14ac:dyDescent="0.2">
      <c r="A28" s="53" t="s">
        <v>39</v>
      </c>
      <c r="B28" s="54">
        <v>835</v>
      </c>
      <c r="C28" s="54">
        <v>835</v>
      </c>
      <c r="D28" s="54">
        <v>211</v>
      </c>
      <c r="E28" s="54">
        <v>203</v>
      </c>
      <c r="F28" s="54">
        <v>218</v>
      </c>
      <c r="G28" s="21">
        <v>203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</row>
    <row r="29" spans="1:14" ht="12.75" customHeight="1" x14ac:dyDescent="0.2">
      <c r="A29" s="53" t="s">
        <v>40</v>
      </c>
      <c r="B29" s="54">
        <v>382</v>
      </c>
      <c r="C29" s="54">
        <v>382</v>
      </c>
      <c r="D29" s="54">
        <v>99</v>
      </c>
      <c r="E29" s="54">
        <v>115</v>
      </c>
      <c r="F29" s="54">
        <v>80</v>
      </c>
      <c r="G29" s="21">
        <v>88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</row>
    <row r="30" spans="1:14" ht="12.75" customHeight="1" x14ac:dyDescent="0.2">
      <c r="A30" s="53" t="s">
        <v>41</v>
      </c>
      <c r="B30" s="54">
        <v>523</v>
      </c>
      <c r="C30" s="54">
        <v>523</v>
      </c>
      <c r="D30" s="54">
        <v>146</v>
      </c>
      <c r="E30" s="54">
        <v>130</v>
      </c>
      <c r="F30" s="54">
        <v>129</v>
      </c>
      <c r="G30" s="21">
        <v>118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</row>
    <row r="31" spans="1:14" ht="12.75" customHeight="1" x14ac:dyDescent="0.2">
      <c r="A31" s="53" t="s">
        <v>42</v>
      </c>
      <c r="B31" s="54">
        <v>1367</v>
      </c>
      <c r="C31" s="54">
        <v>1212</v>
      </c>
      <c r="D31" s="54">
        <v>299</v>
      </c>
      <c r="E31" s="54">
        <v>290</v>
      </c>
      <c r="F31" s="54">
        <v>318</v>
      </c>
      <c r="G31" s="21">
        <v>305</v>
      </c>
      <c r="H31" s="54">
        <v>155</v>
      </c>
      <c r="I31" s="54">
        <v>26</v>
      </c>
      <c r="J31" s="54">
        <v>19</v>
      </c>
      <c r="K31" s="54">
        <v>26</v>
      </c>
      <c r="L31" s="54">
        <v>23</v>
      </c>
      <c r="M31" s="54">
        <v>61</v>
      </c>
      <c r="N31" s="54"/>
    </row>
    <row r="32" spans="1:14" ht="12.75" customHeight="1" x14ac:dyDescent="0.2">
      <c r="A32" s="53" t="s">
        <v>43</v>
      </c>
      <c r="B32" s="54">
        <v>485</v>
      </c>
      <c r="C32" s="54">
        <v>312</v>
      </c>
      <c r="D32" s="54">
        <v>72</v>
      </c>
      <c r="E32" s="54">
        <v>86</v>
      </c>
      <c r="F32" s="54">
        <v>67</v>
      </c>
      <c r="G32" s="21">
        <v>87</v>
      </c>
      <c r="H32" s="54">
        <v>173</v>
      </c>
      <c r="I32" s="54">
        <v>24</v>
      </c>
      <c r="J32" s="54">
        <v>27</v>
      </c>
      <c r="K32" s="54">
        <v>26</v>
      </c>
      <c r="L32" s="54">
        <v>28</v>
      </c>
      <c r="M32" s="54">
        <v>68</v>
      </c>
    </row>
    <row r="33" spans="1:13" ht="12.75" customHeight="1" x14ac:dyDescent="0.2">
      <c r="A33" s="53" t="s">
        <v>44</v>
      </c>
      <c r="B33" s="54">
        <v>1159</v>
      </c>
      <c r="C33" s="54">
        <v>1159</v>
      </c>
      <c r="D33" s="54">
        <v>295</v>
      </c>
      <c r="E33" s="54">
        <v>291</v>
      </c>
      <c r="F33" s="54">
        <v>289</v>
      </c>
      <c r="G33" s="21">
        <v>284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</row>
    <row r="34" spans="1:13" ht="12.75" customHeight="1" x14ac:dyDescent="0.2">
      <c r="A34" s="53" t="s">
        <v>45</v>
      </c>
      <c r="B34" s="54">
        <v>1667</v>
      </c>
      <c r="C34" s="54">
        <v>1406</v>
      </c>
      <c r="D34" s="54">
        <v>353</v>
      </c>
      <c r="E34" s="54">
        <v>360</v>
      </c>
      <c r="F34" s="54">
        <v>345</v>
      </c>
      <c r="G34" s="21">
        <v>348</v>
      </c>
      <c r="H34" s="54">
        <v>261</v>
      </c>
      <c r="I34" s="54">
        <v>37</v>
      </c>
      <c r="J34" s="54">
        <v>41</v>
      </c>
      <c r="K34" s="54">
        <v>42</v>
      </c>
      <c r="L34" s="54">
        <v>48</v>
      </c>
      <c r="M34" s="54">
        <v>93</v>
      </c>
    </row>
    <row r="35" spans="1:13" s="76" customFormat="1" ht="17.100000000000001" customHeight="1" x14ac:dyDescent="0.2">
      <c r="A35" s="73" t="s">
        <v>46</v>
      </c>
      <c r="B35" s="75">
        <f>SUM(B17:B34)</f>
        <v>13676</v>
      </c>
      <c r="C35" s="75">
        <f t="shared" ref="C35:L35" si="1">SUM(C17:C34)</f>
        <v>12842</v>
      </c>
      <c r="D35" s="75">
        <f t="shared" si="1"/>
        <v>3262</v>
      </c>
      <c r="E35" s="75">
        <f t="shared" si="1"/>
        <v>3218</v>
      </c>
      <c r="F35" s="75">
        <f t="shared" si="1"/>
        <v>3178</v>
      </c>
      <c r="G35" s="75">
        <f t="shared" si="1"/>
        <v>3184</v>
      </c>
      <c r="H35" s="75">
        <f t="shared" si="1"/>
        <v>834</v>
      </c>
      <c r="I35" s="75">
        <f t="shared" si="1"/>
        <v>119</v>
      </c>
      <c r="J35" s="75">
        <f t="shared" si="1"/>
        <v>120</v>
      </c>
      <c r="K35" s="75">
        <f t="shared" si="1"/>
        <v>141</v>
      </c>
      <c r="L35" s="75">
        <f t="shared" si="1"/>
        <v>139</v>
      </c>
      <c r="M35" s="75">
        <f>SUM(M17:M34)</f>
        <v>315</v>
      </c>
    </row>
    <row r="36" spans="1:13" s="58" customFormat="1" ht="17.100000000000001" customHeight="1" x14ac:dyDescent="0.2">
      <c r="A36" s="73" t="s">
        <v>47</v>
      </c>
      <c r="B36" s="75">
        <f t="shared" ref="B36:M36" si="2">+B16+B35</f>
        <v>18491</v>
      </c>
      <c r="C36" s="75">
        <f t="shared" si="2"/>
        <v>17132</v>
      </c>
      <c r="D36" s="75">
        <f t="shared" si="2"/>
        <v>4417</v>
      </c>
      <c r="E36" s="75">
        <f t="shared" si="2"/>
        <v>4284</v>
      </c>
      <c r="F36" s="75">
        <f t="shared" si="2"/>
        <v>4200</v>
      </c>
      <c r="G36" s="75">
        <f t="shared" si="2"/>
        <v>4231</v>
      </c>
      <c r="H36" s="75">
        <f>+H16+H35</f>
        <v>1359</v>
      </c>
      <c r="I36" s="75">
        <f t="shared" si="2"/>
        <v>181</v>
      </c>
      <c r="J36" s="75">
        <f t="shared" si="2"/>
        <v>189</v>
      </c>
      <c r="K36" s="75">
        <f t="shared" si="2"/>
        <v>220</v>
      </c>
      <c r="L36" s="75">
        <f t="shared" si="2"/>
        <v>240</v>
      </c>
      <c r="M36" s="75">
        <f t="shared" si="2"/>
        <v>529</v>
      </c>
    </row>
    <row r="37" spans="1:13" s="66" customFormat="1" ht="12.75" customHeight="1" x14ac:dyDescent="0.25">
      <c r="A37" s="64" t="s">
        <v>75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3" ht="12.75" customHeight="1" x14ac:dyDescent="0.2">
      <c r="A38" s="59" t="s">
        <v>96</v>
      </c>
      <c r="B38" s="58"/>
      <c r="C38" s="58"/>
      <c r="D38" s="58"/>
    </row>
    <row r="39" spans="1:13" ht="6" customHeight="1" x14ac:dyDescent="0.2">
      <c r="A39" s="58"/>
      <c r="B39" s="58"/>
      <c r="C39" s="58"/>
      <c r="D39" s="58"/>
    </row>
    <row r="40" spans="1:13" ht="12.75" customHeight="1" x14ac:dyDescent="0.2">
      <c r="A40" s="60" t="s">
        <v>78</v>
      </c>
      <c r="B40" s="58"/>
      <c r="C40" s="58"/>
      <c r="D40" s="58"/>
    </row>
    <row r="62" spans="1:1" ht="10.199999999999999" x14ac:dyDescent="0.2">
      <c r="A62" s="45"/>
    </row>
    <row r="63" spans="1:1" ht="10.199999999999999" x14ac:dyDescent="0.2"/>
  </sheetData>
  <mergeCells count="6">
    <mergeCell ref="I6:M8"/>
    <mergeCell ref="A5:A9"/>
    <mergeCell ref="B5:B9"/>
    <mergeCell ref="C6:C9"/>
    <mergeCell ref="D6:G8"/>
    <mergeCell ref="H6:H9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Normal="100" workbookViewId="0">
      <selection activeCell="B16" sqref="B16"/>
    </sheetView>
  </sheetViews>
  <sheetFormatPr baseColWidth="10" defaultColWidth="8.42578125" defaultRowHeight="12.75" customHeight="1" x14ac:dyDescent="0.2"/>
  <cols>
    <col min="1" max="1" width="21.7109375" style="20" customWidth="1"/>
    <col min="2" max="2" width="9.140625" style="20" customWidth="1"/>
    <col min="3" max="3" width="8" style="20" customWidth="1"/>
    <col min="4" max="7" width="7.7109375" style="20" customWidth="1"/>
    <col min="8" max="8" width="9.140625" style="20" customWidth="1"/>
    <col min="9" max="13" width="7.7109375" style="20" customWidth="1"/>
    <col min="14" max="14" width="6.7109375" style="20" customWidth="1"/>
    <col min="15" max="15" width="7.7109375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26.7" customHeight="1" x14ac:dyDescent="0.25">
      <c r="A3" s="68" t="s">
        <v>113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14.7" customHeight="1" thickBot="1" x14ac:dyDescent="0.25">
      <c r="A5" s="80" t="s">
        <v>8</v>
      </c>
      <c r="B5" s="81" t="s">
        <v>90</v>
      </c>
      <c r="C5" s="47" t="s">
        <v>4</v>
      </c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4" ht="14.7" customHeight="1" thickBot="1" x14ac:dyDescent="0.25">
      <c r="A6" s="77"/>
      <c r="B6" s="77"/>
      <c r="C6" s="82" t="s">
        <v>85</v>
      </c>
      <c r="D6" s="77" t="s">
        <v>77</v>
      </c>
      <c r="E6" s="78"/>
      <c r="F6" s="78"/>
      <c r="G6" s="78"/>
      <c r="H6" s="82" t="s">
        <v>89</v>
      </c>
      <c r="I6" s="77" t="s">
        <v>77</v>
      </c>
      <c r="J6" s="78"/>
      <c r="K6" s="78"/>
      <c r="L6" s="78"/>
      <c r="M6" s="79"/>
    </row>
    <row r="7" spans="1:14" ht="14.7" customHeight="1" thickBot="1" x14ac:dyDescent="0.25">
      <c r="A7" s="77"/>
      <c r="B7" s="77"/>
      <c r="C7" s="77"/>
      <c r="D7" s="78"/>
      <c r="E7" s="78"/>
      <c r="F7" s="78"/>
      <c r="G7" s="78"/>
      <c r="H7" s="77"/>
      <c r="I7" s="78"/>
      <c r="J7" s="78"/>
      <c r="K7" s="78"/>
      <c r="L7" s="78"/>
      <c r="M7" s="79"/>
    </row>
    <row r="8" spans="1:14" ht="14.7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4.7" customHeight="1" thickBot="1" x14ac:dyDescent="0.25">
      <c r="A9" s="77"/>
      <c r="B9" s="77"/>
      <c r="C9" s="77"/>
      <c r="D9" s="61">
        <v>1</v>
      </c>
      <c r="E9" s="61">
        <v>2</v>
      </c>
      <c r="F9" s="61">
        <v>3</v>
      </c>
      <c r="G9" s="62">
        <v>4</v>
      </c>
      <c r="H9" s="77"/>
      <c r="I9" s="61">
        <v>5</v>
      </c>
      <c r="J9" s="61">
        <v>6</v>
      </c>
      <c r="K9" s="61">
        <v>7</v>
      </c>
      <c r="L9" s="61">
        <v>8</v>
      </c>
      <c r="M9" s="51" t="s">
        <v>21</v>
      </c>
    </row>
    <row r="10" spans="1:14" ht="12.75" customHeight="1" x14ac:dyDescent="0.2">
      <c r="A10" s="5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 t="s">
        <v>76</v>
      </c>
    </row>
    <row r="11" spans="1:14" ht="12.75" customHeight="1" x14ac:dyDescent="0.2">
      <c r="A11" s="53" t="s">
        <v>22</v>
      </c>
      <c r="B11" s="54">
        <v>219</v>
      </c>
      <c r="C11" s="54">
        <v>219</v>
      </c>
      <c r="D11" s="54">
        <v>44</v>
      </c>
      <c r="E11" s="54">
        <v>59</v>
      </c>
      <c r="F11" s="54">
        <v>58</v>
      </c>
      <c r="G11" s="21">
        <v>58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</row>
    <row r="12" spans="1:14" ht="12.75" customHeight="1" x14ac:dyDescent="0.2">
      <c r="A12" s="53" t="s">
        <v>23</v>
      </c>
      <c r="B12" s="54">
        <v>1130</v>
      </c>
      <c r="C12" s="54">
        <v>937</v>
      </c>
      <c r="D12" s="54">
        <v>229</v>
      </c>
      <c r="E12" s="54">
        <v>233</v>
      </c>
      <c r="F12" s="54">
        <v>225</v>
      </c>
      <c r="G12" s="21">
        <v>250</v>
      </c>
      <c r="H12" s="54">
        <v>193</v>
      </c>
      <c r="I12" s="54">
        <v>16</v>
      </c>
      <c r="J12" s="54">
        <v>14</v>
      </c>
      <c r="K12" s="54">
        <v>38</v>
      </c>
      <c r="L12" s="54">
        <v>46</v>
      </c>
      <c r="M12" s="54">
        <v>79</v>
      </c>
    </row>
    <row r="13" spans="1:14" ht="12.75" customHeight="1" x14ac:dyDescent="0.2">
      <c r="A13" s="53" t="s">
        <v>24</v>
      </c>
      <c r="B13" s="54">
        <v>1636</v>
      </c>
      <c r="C13" s="54">
        <v>1280</v>
      </c>
      <c r="D13" s="21">
        <v>331</v>
      </c>
      <c r="E13" s="21">
        <v>302</v>
      </c>
      <c r="F13" s="21">
        <v>313</v>
      </c>
      <c r="G13" s="21">
        <v>334</v>
      </c>
      <c r="H13" s="54">
        <v>356</v>
      </c>
      <c r="I13" s="21">
        <v>48</v>
      </c>
      <c r="J13" s="21">
        <v>45</v>
      </c>
      <c r="K13" s="21">
        <v>58</v>
      </c>
      <c r="L13" s="21">
        <v>69</v>
      </c>
      <c r="M13" s="21">
        <v>136</v>
      </c>
      <c r="N13" s="54"/>
    </row>
    <row r="14" spans="1:14" ht="12.75" customHeight="1" x14ac:dyDescent="0.2">
      <c r="A14" s="53" t="s">
        <v>25</v>
      </c>
      <c r="B14" s="54">
        <v>866</v>
      </c>
      <c r="C14" s="54">
        <v>866</v>
      </c>
      <c r="D14" s="21">
        <v>228</v>
      </c>
      <c r="E14" s="21">
        <v>213</v>
      </c>
      <c r="F14" s="21">
        <v>212</v>
      </c>
      <c r="G14" s="21">
        <v>213</v>
      </c>
      <c r="H14" s="54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</row>
    <row r="15" spans="1:14" ht="12.75" customHeight="1" x14ac:dyDescent="0.2">
      <c r="A15" s="53" t="s">
        <v>26</v>
      </c>
      <c r="B15" s="54">
        <v>947</v>
      </c>
      <c r="C15" s="54">
        <v>947</v>
      </c>
      <c r="D15" s="21">
        <v>240</v>
      </c>
      <c r="E15" s="21">
        <v>230</v>
      </c>
      <c r="F15" s="21">
        <v>245</v>
      </c>
      <c r="G15" s="21">
        <v>232</v>
      </c>
      <c r="H15" s="54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</row>
    <row r="16" spans="1:14" s="58" customFormat="1" ht="17.100000000000001" customHeight="1" x14ac:dyDescent="0.2">
      <c r="A16" s="73" t="s">
        <v>27</v>
      </c>
      <c r="B16" s="74">
        <f>SUM(B11:B15)</f>
        <v>4798</v>
      </c>
      <c r="C16" s="74">
        <f t="shared" ref="C16:M16" si="0">SUM(C11:C15)</f>
        <v>4249</v>
      </c>
      <c r="D16" s="74">
        <f t="shared" si="0"/>
        <v>1072</v>
      </c>
      <c r="E16" s="74">
        <f t="shared" si="0"/>
        <v>1037</v>
      </c>
      <c r="F16" s="74">
        <f t="shared" si="0"/>
        <v>1053</v>
      </c>
      <c r="G16" s="74">
        <f t="shared" si="0"/>
        <v>1087</v>
      </c>
      <c r="H16" s="74">
        <f t="shared" si="0"/>
        <v>549</v>
      </c>
      <c r="I16" s="74">
        <f t="shared" si="0"/>
        <v>64</v>
      </c>
      <c r="J16" s="74">
        <f t="shared" si="0"/>
        <v>59</v>
      </c>
      <c r="K16" s="74">
        <f t="shared" si="0"/>
        <v>96</v>
      </c>
      <c r="L16" s="74">
        <f t="shared" si="0"/>
        <v>115</v>
      </c>
      <c r="M16" s="74">
        <f t="shared" si="0"/>
        <v>215</v>
      </c>
    </row>
    <row r="17" spans="1:14" ht="12.75" customHeight="1" x14ac:dyDescent="0.2">
      <c r="A17" s="53" t="s">
        <v>28</v>
      </c>
      <c r="B17" s="54">
        <v>2196</v>
      </c>
      <c r="C17" s="54">
        <v>2196</v>
      </c>
      <c r="D17" s="54">
        <v>553</v>
      </c>
      <c r="E17" s="54">
        <v>547</v>
      </c>
      <c r="F17" s="54">
        <v>578</v>
      </c>
      <c r="G17" s="21">
        <v>518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</row>
    <row r="18" spans="1:14" ht="12.75" customHeight="1" x14ac:dyDescent="0.2">
      <c r="A18" s="53" t="s">
        <v>29</v>
      </c>
      <c r="B18" s="54">
        <v>225</v>
      </c>
      <c r="C18" s="54">
        <v>225</v>
      </c>
      <c r="D18" s="54">
        <v>40</v>
      </c>
      <c r="E18" s="54">
        <v>57</v>
      </c>
      <c r="F18" s="54">
        <v>61</v>
      </c>
      <c r="G18" s="21">
        <v>67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</row>
    <row r="19" spans="1:14" ht="12.75" customHeight="1" x14ac:dyDescent="0.2">
      <c r="A19" s="53" t="s">
        <v>30</v>
      </c>
      <c r="B19" s="54">
        <v>413</v>
      </c>
      <c r="C19" s="54">
        <v>413</v>
      </c>
      <c r="D19" s="54">
        <v>106</v>
      </c>
      <c r="E19" s="54">
        <v>88</v>
      </c>
      <c r="F19" s="54">
        <v>118</v>
      </c>
      <c r="G19" s="21">
        <v>101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</row>
    <row r="20" spans="1:14" ht="12.75" customHeight="1" x14ac:dyDescent="0.2">
      <c r="A20" s="53" t="s">
        <v>31</v>
      </c>
      <c r="B20" s="54">
        <v>528</v>
      </c>
      <c r="C20" s="54">
        <v>528</v>
      </c>
      <c r="D20" s="54">
        <v>132</v>
      </c>
      <c r="E20" s="54">
        <v>138</v>
      </c>
      <c r="F20" s="54">
        <v>126</v>
      </c>
      <c r="G20" s="21">
        <v>132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</row>
    <row r="21" spans="1:14" ht="12.75" customHeight="1" x14ac:dyDescent="0.2">
      <c r="A21" s="53" t="s">
        <v>32</v>
      </c>
      <c r="B21" s="54">
        <v>1075</v>
      </c>
      <c r="C21" s="54">
        <v>820</v>
      </c>
      <c r="D21" s="54">
        <v>247</v>
      </c>
      <c r="E21" s="54">
        <v>192</v>
      </c>
      <c r="F21" s="54">
        <v>193</v>
      </c>
      <c r="G21" s="21">
        <v>188</v>
      </c>
      <c r="H21" s="54">
        <v>255</v>
      </c>
      <c r="I21" s="54">
        <v>32</v>
      </c>
      <c r="J21" s="54">
        <v>43</v>
      </c>
      <c r="K21" s="54">
        <v>40</v>
      </c>
      <c r="L21" s="54">
        <v>43</v>
      </c>
      <c r="M21" s="54">
        <v>97</v>
      </c>
      <c r="N21" s="54"/>
    </row>
    <row r="22" spans="1:14" ht="12.75" customHeight="1" x14ac:dyDescent="0.2">
      <c r="A22" s="53" t="s">
        <v>33</v>
      </c>
      <c r="B22" s="54">
        <v>322</v>
      </c>
      <c r="C22" s="54">
        <v>322</v>
      </c>
      <c r="D22" s="54">
        <v>73</v>
      </c>
      <c r="E22" s="54">
        <v>75</v>
      </c>
      <c r="F22" s="54">
        <v>94</v>
      </c>
      <c r="G22" s="21">
        <v>80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/>
    </row>
    <row r="23" spans="1:14" ht="12.75" customHeight="1" x14ac:dyDescent="0.2">
      <c r="A23" s="53" t="s">
        <v>34</v>
      </c>
      <c r="B23" s="54">
        <v>782</v>
      </c>
      <c r="C23" s="54">
        <v>782</v>
      </c>
      <c r="D23" s="54">
        <v>179</v>
      </c>
      <c r="E23" s="54">
        <v>199</v>
      </c>
      <c r="F23" s="54">
        <v>208</v>
      </c>
      <c r="G23" s="21">
        <v>196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</row>
    <row r="24" spans="1:14" ht="12.75" customHeight="1" x14ac:dyDescent="0.2">
      <c r="A24" s="53" t="s">
        <v>35</v>
      </c>
      <c r="B24" s="54">
        <v>831</v>
      </c>
      <c r="C24" s="54">
        <v>831</v>
      </c>
      <c r="D24" s="54">
        <v>207</v>
      </c>
      <c r="E24" s="54">
        <v>217</v>
      </c>
      <c r="F24" s="54">
        <v>193</v>
      </c>
      <c r="G24" s="21">
        <v>214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</row>
    <row r="25" spans="1:14" ht="12.75" customHeight="1" x14ac:dyDescent="0.2">
      <c r="A25" s="53" t="s">
        <v>36</v>
      </c>
      <c r="B25" s="54">
        <v>177</v>
      </c>
      <c r="C25" s="54">
        <v>177</v>
      </c>
      <c r="D25" s="54">
        <v>39</v>
      </c>
      <c r="E25" s="54">
        <v>42</v>
      </c>
      <c r="F25" s="54">
        <v>50</v>
      </c>
      <c r="G25" s="21">
        <v>46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</row>
    <row r="26" spans="1:14" ht="12.75" customHeight="1" x14ac:dyDescent="0.2">
      <c r="A26" s="53" t="s">
        <v>37</v>
      </c>
      <c r="B26" s="54">
        <v>294</v>
      </c>
      <c r="C26" s="54">
        <v>294</v>
      </c>
      <c r="D26" s="54">
        <v>72</v>
      </c>
      <c r="E26" s="54">
        <v>73</v>
      </c>
      <c r="F26" s="54">
        <v>76</v>
      </c>
      <c r="G26" s="21">
        <v>73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</row>
    <row r="27" spans="1:14" ht="12.75" customHeight="1" x14ac:dyDescent="0.2">
      <c r="A27" s="53" t="s">
        <v>38</v>
      </c>
      <c r="B27" s="54">
        <v>278</v>
      </c>
      <c r="C27" s="54">
        <v>278</v>
      </c>
      <c r="D27" s="54">
        <v>63</v>
      </c>
      <c r="E27" s="54">
        <v>64</v>
      </c>
      <c r="F27" s="54">
        <v>64</v>
      </c>
      <c r="G27" s="21">
        <v>87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</row>
    <row r="28" spans="1:14" ht="12.75" customHeight="1" x14ac:dyDescent="0.2">
      <c r="A28" s="53" t="s">
        <v>39</v>
      </c>
      <c r="B28" s="54">
        <v>832</v>
      </c>
      <c r="C28" s="54">
        <v>832</v>
      </c>
      <c r="D28" s="54">
        <v>198</v>
      </c>
      <c r="E28" s="54">
        <v>224</v>
      </c>
      <c r="F28" s="54">
        <v>212</v>
      </c>
      <c r="G28" s="21">
        <v>198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</row>
    <row r="29" spans="1:14" ht="12.75" customHeight="1" x14ac:dyDescent="0.2">
      <c r="A29" s="53" t="s">
        <v>40</v>
      </c>
      <c r="B29" s="54">
        <v>375</v>
      </c>
      <c r="C29" s="54">
        <v>375</v>
      </c>
      <c r="D29" s="54">
        <v>119</v>
      </c>
      <c r="E29" s="54">
        <v>76</v>
      </c>
      <c r="F29" s="54">
        <v>93</v>
      </c>
      <c r="G29" s="21">
        <v>87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</row>
    <row r="30" spans="1:14" ht="12.75" customHeight="1" x14ac:dyDescent="0.2">
      <c r="A30" s="53" t="s">
        <v>41</v>
      </c>
      <c r="B30" s="54">
        <v>501</v>
      </c>
      <c r="C30" s="54">
        <v>501</v>
      </c>
      <c r="D30" s="54">
        <v>130</v>
      </c>
      <c r="E30" s="54">
        <v>135</v>
      </c>
      <c r="F30" s="54">
        <v>117</v>
      </c>
      <c r="G30" s="21">
        <v>119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</row>
    <row r="31" spans="1:14" ht="12.75" customHeight="1" x14ac:dyDescent="0.2">
      <c r="A31" s="53" t="s">
        <v>42</v>
      </c>
      <c r="B31" s="54">
        <v>1362</v>
      </c>
      <c r="C31" s="54">
        <v>1214</v>
      </c>
      <c r="D31" s="54">
        <v>288</v>
      </c>
      <c r="E31" s="54">
        <v>317</v>
      </c>
      <c r="F31" s="54">
        <v>311</v>
      </c>
      <c r="G31" s="21">
        <v>298</v>
      </c>
      <c r="H31" s="54">
        <v>148</v>
      </c>
      <c r="I31" s="54">
        <v>18</v>
      </c>
      <c r="J31" s="54">
        <v>26</v>
      </c>
      <c r="K31" s="54">
        <v>22</v>
      </c>
      <c r="L31" s="54">
        <v>22</v>
      </c>
      <c r="M31" s="54">
        <v>60</v>
      </c>
      <c r="N31" s="54"/>
    </row>
    <row r="32" spans="1:14" ht="12.75" customHeight="1" x14ac:dyDescent="0.2">
      <c r="A32" s="53" t="s">
        <v>43</v>
      </c>
      <c r="B32" s="54">
        <v>444</v>
      </c>
      <c r="C32" s="54">
        <v>288</v>
      </c>
      <c r="D32" s="54">
        <v>85</v>
      </c>
      <c r="E32" s="54">
        <v>67</v>
      </c>
      <c r="F32" s="54">
        <v>86</v>
      </c>
      <c r="G32" s="21">
        <v>50</v>
      </c>
      <c r="H32" s="54">
        <v>156</v>
      </c>
      <c r="I32" s="54">
        <v>23</v>
      </c>
      <c r="J32" s="54">
        <v>24</v>
      </c>
      <c r="K32" s="54">
        <v>22</v>
      </c>
      <c r="L32" s="54">
        <v>48</v>
      </c>
      <c r="M32" s="54">
        <v>39</v>
      </c>
    </row>
    <row r="33" spans="1:13" ht="12.75" customHeight="1" x14ac:dyDescent="0.2">
      <c r="A33" s="53" t="s">
        <v>44</v>
      </c>
      <c r="B33" s="54">
        <v>1166</v>
      </c>
      <c r="C33" s="54">
        <v>1166</v>
      </c>
      <c r="D33" s="54">
        <v>291</v>
      </c>
      <c r="E33" s="54">
        <v>291</v>
      </c>
      <c r="F33" s="54">
        <v>289</v>
      </c>
      <c r="G33" s="21">
        <v>295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</row>
    <row r="34" spans="1:13" ht="12.75" customHeight="1" x14ac:dyDescent="0.2">
      <c r="A34" s="53" t="s">
        <v>45</v>
      </c>
      <c r="B34" s="54">
        <v>1665</v>
      </c>
      <c r="C34" s="54">
        <v>1441</v>
      </c>
      <c r="D34" s="54">
        <v>364</v>
      </c>
      <c r="E34" s="54">
        <v>370</v>
      </c>
      <c r="F34" s="54">
        <v>359</v>
      </c>
      <c r="G34" s="21">
        <v>348</v>
      </c>
      <c r="H34" s="54">
        <v>224</v>
      </c>
      <c r="I34" s="54">
        <v>33</v>
      </c>
      <c r="J34" s="54">
        <v>32</v>
      </c>
      <c r="K34" s="54">
        <v>43</v>
      </c>
      <c r="L34" s="54">
        <v>43</v>
      </c>
      <c r="M34" s="54">
        <v>73</v>
      </c>
    </row>
    <row r="35" spans="1:13" s="58" customFormat="1" ht="17.100000000000001" customHeight="1" x14ac:dyDescent="0.2">
      <c r="A35" s="73" t="s">
        <v>46</v>
      </c>
      <c r="B35" s="74">
        <f>SUM(B17:B34)</f>
        <v>13466</v>
      </c>
      <c r="C35" s="74">
        <f t="shared" ref="C35:L35" si="1">SUM(C17:C34)</f>
        <v>12683</v>
      </c>
      <c r="D35" s="74">
        <f t="shared" si="1"/>
        <v>3186</v>
      </c>
      <c r="E35" s="74">
        <f t="shared" si="1"/>
        <v>3172</v>
      </c>
      <c r="F35" s="74">
        <f t="shared" si="1"/>
        <v>3228</v>
      </c>
      <c r="G35" s="74">
        <f t="shared" si="1"/>
        <v>3097</v>
      </c>
      <c r="H35" s="74">
        <f t="shared" si="1"/>
        <v>783</v>
      </c>
      <c r="I35" s="74">
        <f t="shared" si="1"/>
        <v>106</v>
      </c>
      <c r="J35" s="74">
        <f t="shared" si="1"/>
        <v>125</v>
      </c>
      <c r="K35" s="74">
        <f t="shared" si="1"/>
        <v>127</v>
      </c>
      <c r="L35" s="74">
        <f t="shared" si="1"/>
        <v>156</v>
      </c>
      <c r="M35" s="74">
        <f>SUM(M17:M34)</f>
        <v>269</v>
      </c>
    </row>
    <row r="36" spans="1:13" s="58" customFormat="1" ht="17.100000000000001" customHeight="1" x14ac:dyDescent="0.2">
      <c r="A36" s="73" t="s">
        <v>47</v>
      </c>
      <c r="B36" s="75">
        <f t="shared" ref="B36:M36" si="2">+B16+B35</f>
        <v>18264</v>
      </c>
      <c r="C36" s="75">
        <f t="shared" si="2"/>
        <v>16932</v>
      </c>
      <c r="D36" s="75">
        <f t="shared" si="2"/>
        <v>4258</v>
      </c>
      <c r="E36" s="75">
        <f t="shared" si="2"/>
        <v>4209</v>
      </c>
      <c r="F36" s="75">
        <f t="shared" si="2"/>
        <v>4281</v>
      </c>
      <c r="G36" s="75">
        <f t="shared" si="2"/>
        <v>4184</v>
      </c>
      <c r="H36" s="75">
        <f>+H16+H35</f>
        <v>1332</v>
      </c>
      <c r="I36" s="75">
        <f t="shared" si="2"/>
        <v>170</v>
      </c>
      <c r="J36" s="75">
        <f t="shared" si="2"/>
        <v>184</v>
      </c>
      <c r="K36" s="75">
        <f t="shared" si="2"/>
        <v>223</v>
      </c>
      <c r="L36" s="75">
        <f t="shared" si="2"/>
        <v>271</v>
      </c>
      <c r="M36" s="75">
        <f t="shared" si="2"/>
        <v>484</v>
      </c>
    </row>
    <row r="37" spans="1:13" s="66" customFormat="1" ht="12.75" customHeight="1" x14ac:dyDescent="0.25">
      <c r="A37" s="64" t="s">
        <v>75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3" ht="12.75" customHeight="1" x14ac:dyDescent="0.2">
      <c r="A38" s="59" t="s">
        <v>96</v>
      </c>
      <c r="B38" s="58"/>
      <c r="C38" s="58"/>
      <c r="D38" s="58"/>
    </row>
    <row r="39" spans="1:13" ht="6" customHeight="1" x14ac:dyDescent="0.2">
      <c r="A39" s="58"/>
      <c r="B39" s="58"/>
      <c r="C39" s="58"/>
      <c r="D39" s="58"/>
    </row>
    <row r="40" spans="1:13" ht="12.75" customHeight="1" x14ac:dyDescent="0.2">
      <c r="A40" s="60" t="s">
        <v>78</v>
      </c>
      <c r="B40" s="58"/>
      <c r="C40" s="58"/>
      <c r="D40" s="58"/>
    </row>
    <row r="62" spans="1:1" ht="10.199999999999999" x14ac:dyDescent="0.2">
      <c r="A62" s="45"/>
    </row>
    <row r="63" spans="1:1" ht="10.199999999999999" x14ac:dyDescent="0.2"/>
  </sheetData>
  <mergeCells count="6">
    <mergeCell ref="I6:M8"/>
    <mergeCell ref="A5:A9"/>
    <mergeCell ref="B5:B9"/>
    <mergeCell ref="C6:C9"/>
    <mergeCell ref="D6:G8"/>
    <mergeCell ref="H6:H9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Normal="100" workbookViewId="0">
      <selection activeCell="M16" sqref="M16"/>
    </sheetView>
  </sheetViews>
  <sheetFormatPr baseColWidth="10" defaultColWidth="8.42578125" defaultRowHeight="12.75" customHeight="1" x14ac:dyDescent="0.2"/>
  <cols>
    <col min="1" max="1" width="21.7109375" style="20" customWidth="1"/>
    <col min="2" max="2" width="9.140625" style="20" customWidth="1"/>
    <col min="3" max="3" width="8" style="20" customWidth="1"/>
    <col min="4" max="7" width="7.7109375" style="20" customWidth="1"/>
    <col min="8" max="8" width="9.140625" style="20" customWidth="1"/>
    <col min="9" max="13" width="7.7109375" style="20" customWidth="1"/>
    <col min="14" max="14" width="6.7109375" style="20" customWidth="1"/>
    <col min="15" max="15" width="7.7109375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26.7" customHeight="1" x14ac:dyDescent="0.25">
      <c r="A3" s="68" t="s">
        <v>112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14.7" customHeight="1" thickBot="1" x14ac:dyDescent="0.25">
      <c r="A5" s="80" t="s">
        <v>8</v>
      </c>
      <c r="B5" s="81" t="s">
        <v>90</v>
      </c>
      <c r="C5" s="47" t="s">
        <v>4</v>
      </c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4" ht="14.7" customHeight="1" thickBot="1" x14ac:dyDescent="0.25">
      <c r="A6" s="77"/>
      <c r="B6" s="77"/>
      <c r="C6" s="82" t="s">
        <v>85</v>
      </c>
      <c r="D6" s="77" t="s">
        <v>77</v>
      </c>
      <c r="E6" s="78"/>
      <c r="F6" s="78"/>
      <c r="G6" s="78"/>
      <c r="H6" s="82" t="s">
        <v>89</v>
      </c>
      <c r="I6" s="77" t="s">
        <v>77</v>
      </c>
      <c r="J6" s="78"/>
      <c r="K6" s="78"/>
      <c r="L6" s="78"/>
      <c r="M6" s="79"/>
    </row>
    <row r="7" spans="1:14" ht="14.7" customHeight="1" thickBot="1" x14ac:dyDescent="0.25">
      <c r="A7" s="77"/>
      <c r="B7" s="77"/>
      <c r="C7" s="77"/>
      <c r="D7" s="78"/>
      <c r="E7" s="78"/>
      <c r="F7" s="78"/>
      <c r="G7" s="78"/>
      <c r="H7" s="77"/>
      <c r="I7" s="78"/>
      <c r="J7" s="78"/>
      <c r="K7" s="78"/>
      <c r="L7" s="78"/>
      <c r="M7" s="79"/>
    </row>
    <row r="8" spans="1:14" ht="14.7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4.7" customHeight="1" thickBot="1" x14ac:dyDescent="0.25">
      <c r="A9" s="77"/>
      <c r="B9" s="77"/>
      <c r="C9" s="77"/>
      <c r="D9" s="61">
        <v>1</v>
      </c>
      <c r="E9" s="61">
        <v>2</v>
      </c>
      <c r="F9" s="61">
        <v>3</v>
      </c>
      <c r="G9" s="62">
        <v>4</v>
      </c>
      <c r="H9" s="77"/>
      <c r="I9" s="61">
        <v>5</v>
      </c>
      <c r="J9" s="61">
        <v>6</v>
      </c>
      <c r="K9" s="61">
        <v>7</v>
      </c>
      <c r="L9" s="61">
        <v>8</v>
      </c>
      <c r="M9" s="51" t="s">
        <v>21</v>
      </c>
    </row>
    <row r="10" spans="1:14" ht="12.75" customHeight="1" x14ac:dyDescent="0.2">
      <c r="A10" s="5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 t="s">
        <v>76</v>
      </c>
    </row>
    <row r="11" spans="1:14" ht="12.75" customHeight="1" x14ac:dyDescent="0.2">
      <c r="A11" s="53" t="s">
        <v>22</v>
      </c>
      <c r="B11" s="54">
        <v>229</v>
      </c>
      <c r="C11" s="54">
        <v>229</v>
      </c>
      <c r="D11" s="54">
        <v>58</v>
      </c>
      <c r="E11" s="54">
        <v>60</v>
      </c>
      <c r="F11" s="54">
        <v>59</v>
      </c>
      <c r="G11" s="21">
        <v>52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</row>
    <row r="12" spans="1:14" ht="12.75" customHeight="1" x14ac:dyDescent="0.2">
      <c r="A12" s="53" t="s">
        <v>23</v>
      </c>
      <c r="B12" s="54">
        <v>1158</v>
      </c>
      <c r="C12" s="54">
        <v>944</v>
      </c>
      <c r="D12" s="54">
        <v>234</v>
      </c>
      <c r="E12" s="54">
        <v>233</v>
      </c>
      <c r="F12" s="54">
        <v>256</v>
      </c>
      <c r="G12" s="21">
        <v>221</v>
      </c>
      <c r="H12" s="54">
        <v>214</v>
      </c>
      <c r="I12" s="54">
        <v>14</v>
      </c>
      <c r="J12" s="54">
        <v>28</v>
      </c>
      <c r="K12" s="54">
        <v>35</v>
      </c>
      <c r="L12" s="54">
        <v>25</v>
      </c>
      <c r="M12" s="54">
        <v>112</v>
      </c>
    </row>
    <row r="13" spans="1:14" ht="12.75" customHeight="1" x14ac:dyDescent="0.2">
      <c r="A13" s="53" t="s">
        <v>24</v>
      </c>
      <c r="B13" s="54">
        <v>1652</v>
      </c>
      <c r="C13" s="54">
        <v>1275</v>
      </c>
      <c r="D13" s="21">
        <v>311</v>
      </c>
      <c r="E13" s="21">
        <v>322</v>
      </c>
      <c r="F13" s="21">
        <v>330</v>
      </c>
      <c r="G13" s="21">
        <v>312</v>
      </c>
      <c r="H13" s="54">
        <v>377</v>
      </c>
      <c r="I13" s="21">
        <v>46</v>
      </c>
      <c r="J13" s="21">
        <v>54</v>
      </c>
      <c r="K13" s="21">
        <v>68</v>
      </c>
      <c r="L13" s="21">
        <v>68</v>
      </c>
      <c r="M13" s="21">
        <v>141</v>
      </c>
      <c r="N13" s="54"/>
    </row>
    <row r="14" spans="1:14" ht="12.75" customHeight="1" x14ac:dyDescent="0.2">
      <c r="A14" s="53" t="s">
        <v>25</v>
      </c>
      <c r="B14" s="54">
        <v>906</v>
      </c>
      <c r="C14" s="54">
        <v>906</v>
      </c>
      <c r="D14" s="21">
        <v>225</v>
      </c>
      <c r="E14" s="21">
        <v>225</v>
      </c>
      <c r="F14" s="21">
        <v>223</v>
      </c>
      <c r="G14" s="21">
        <v>233</v>
      </c>
      <c r="H14" s="54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</row>
    <row r="15" spans="1:14" ht="12.75" customHeight="1" x14ac:dyDescent="0.2">
      <c r="A15" s="53" t="s">
        <v>26</v>
      </c>
      <c r="B15" s="54">
        <v>975</v>
      </c>
      <c r="C15" s="54">
        <v>975</v>
      </c>
      <c r="D15" s="21">
        <v>233</v>
      </c>
      <c r="E15" s="21">
        <v>259</v>
      </c>
      <c r="F15" s="21">
        <v>246</v>
      </c>
      <c r="G15" s="21">
        <v>237</v>
      </c>
      <c r="H15" s="54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</row>
    <row r="16" spans="1:14" s="58" customFormat="1" ht="17.100000000000001" customHeight="1" x14ac:dyDescent="0.2">
      <c r="A16" s="73" t="s">
        <v>27</v>
      </c>
      <c r="B16" s="74">
        <f>SUM(B11:B15)</f>
        <v>4920</v>
      </c>
      <c r="C16" s="74">
        <f t="shared" ref="C16:M16" si="0">SUM(C11:C15)</f>
        <v>4329</v>
      </c>
      <c r="D16" s="74">
        <f t="shared" si="0"/>
        <v>1061</v>
      </c>
      <c r="E16" s="74">
        <f t="shared" si="0"/>
        <v>1099</v>
      </c>
      <c r="F16" s="74">
        <f t="shared" si="0"/>
        <v>1114</v>
      </c>
      <c r="G16" s="74">
        <f t="shared" si="0"/>
        <v>1055</v>
      </c>
      <c r="H16" s="74">
        <f t="shared" si="0"/>
        <v>591</v>
      </c>
      <c r="I16" s="74">
        <f t="shared" si="0"/>
        <v>60</v>
      </c>
      <c r="J16" s="74">
        <f t="shared" si="0"/>
        <v>82</v>
      </c>
      <c r="K16" s="74">
        <f t="shared" si="0"/>
        <v>103</v>
      </c>
      <c r="L16" s="74">
        <f t="shared" si="0"/>
        <v>93</v>
      </c>
      <c r="M16" s="74">
        <f t="shared" si="0"/>
        <v>253</v>
      </c>
    </row>
    <row r="17" spans="1:14" ht="12.75" customHeight="1" x14ac:dyDescent="0.2">
      <c r="A17" s="53" t="s">
        <v>28</v>
      </c>
      <c r="B17" s="54">
        <v>2321</v>
      </c>
      <c r="C17" s="54">
        <v>2281</v>
      </c>
      <c r="D17" s="54">
        <v>551</v>
      </c>
      <c r="E17" s="54">
        <v>598</v>
      </c>
      <c r="F17" s="54">
        <v>554</v>
      </c>
      <c r="G17" s="21">
        <v>578</v>
      </c>
      <c r="H17" s="54">
        <v>40</v>
      </c>
      <c r="I17" s="54">
        <v>0</v>
      </c>
      <c r="J17" s="54">
        <v>0</v>
      </c>
      <c r="K17" s="54">
        <v>0</v>
      </c>
      <c r="L17" s="54">
        <v>0</v>
      </c>
      <c r="M17" s="54">
        <v>40</v>
      </c>
    </row>
    <row r="18" spans="1:14" ht="12.75" customHeight="1" x14ac:dyDescent="0.2">
      <c r="A18" s="53" t="s">
        <v>29</v>
      </c>
      <c r="B18" s="54">
        <v>255</v>
      </c>
      <c r="C18" s="54">
        <v>255</v>
      </c>
      <c r="D18" s="54">
        <v>57</v>
      </c>
      <c r="E18" s="54">
        <v>60</v>
      </c>
      <c r="F18" s="54">
        <v>64</v>
      </c>
      <c r="G18" s="21">
        <v>74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</row>
    <row r="19" spans="1:14" ht="12.75" customHeight="1" x14ac:dyDescent="0.2">
      <c r="A19" s="53" t="s">
        <v>30</v>
      </c>
      <c r="B19" s="54">
        <v>397</v>
      </c>
      <c r="C19" s="54">
        <v>397</v>
      </c>
      <c r="D19" s="54">
        <v>92</v>
      </c>
      <c r="E19" s="54">
        <v>119</v>
      </c>
      <c r="F19" s="54">
        <v>101</v>
      </c>
      <c r="G19" s="21">
        <v>85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</row>
    <row r="20" spans="1:14" ht="12.75" customHeight="1" x14ac:dyDescent="0.2">
      <c r="A20" s="53" t="s">
        <v>31</v>
      </c>
      <c r="B20" s="54">
        <v>540</v>
      </c>
      <c r="C20" s="54">
        <v>540</v>
      </c>
      <c r="D20" s="54">
        <v>139</v>
      </c>
      <c r="E20" s="54">
        <v>125</v>
      </c>
      <c r="F20" s="54">
        <v>134</v>
      </c>
      <c r="G20" s="21">
        <v>142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</row>
    <row r="21" spans="1:14" ht="12.75" customHeight="1" x14ac:dyDescent="0.2">
      <c r="A21" s="53" t="s">
        <v>32</v>
      </c>
      <c r="B21" s="54">
        <v>1028</v>
      </c>
      <c r="C21" s="54">
        <v>769</v>
      </c>
      <c r="D21" s="54">
        <v>196</v>
      </c>
      <c r="E21" s="54">
        <v>198</v>
      </c>
      <c r="F21" s="54">
        <v>190</v>
      </c>
      <c r="G21" s="21">
        <v>185</v>
      </c>
      <c r="H21" s="54">
        <v>259</v>
      </c>
      <c r="I21" s="54">
        <v>43</v>
      </c>
      <c r="J21" s="54">
        <v>36</v>
      </c>
      <c r="K21" s="54">
        <v>43</v>
      </c>
      <c r="L21" s="54">
        <v>50</v>
      </c>
      <c r="M21" s="54">
        <v>87</v>
      </c>
      <c r="N21" s="54"/>
    </row>
    <row r="22" spans="1:14" ht="12.75" customHeight="1" x14ac:dyDescent="0.2">
      <c r="A22" s="53" t="s">
        <v>33</v>
      </c>
      <c r="B22" s="54">
        <v>341</v>
      </c>
      <c r="C22" s="54">
        <v>341</v>
      </c>
      <c r="D22" s="54">
        <v>78</v>
      </c>
      <c r="E22" s="54">
        <v>97</v>
      </c>
      <c r="F22" s="54">
        <v>82</v>
      </c>
      <c r="G22" s="21">
        <v>84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/>
    </row>
    <row r="23" spans="1:14" ht="12.75" customHeight="1" x14ac:dyDescent="0.2">
      <c r="A23" s="53" t="s">
        <v>34</v>
      </c>
      <c r="B23" s="54">
        <v>805</v>
      </c>
      <c r="C23" s="54">
        <v>805</v>
      </c>
      <c r="D23" s="54">
        <v>202</v>
      </c>
      <c r="E23" s="54">
        <v>212</v>
      </c>
      <c r="F23" s="54">
        <v>195</v>
      </c>
      <c r="G23" s="21">
        <v>196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</row>
    <row r="24" spans="1:14" ht="12.75" customHeight="1" x14ac:dyDescent="0.2">
      <c r="A24" s="53" t="s">
        <v>35</v>
      </c>
      <c r="B24" s="54">
        <v>830</v>
      </c>
      <c r="C24" s="54">
        <v>830</v>
      </c>
      <c r="D24" s="54">
        <v>217</v>
      </c>
      <c r="E24" s="54">
        <v>196</v>
      </c>
      <c r="F24" s="54">
        <v>215</v>
      </c>
      <c r="G24" s="21">
        <v>202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</row>
    <row r="25" spans="1:14" ht="12.75" customHeight="1" x14ac:dyDescent="0.2">
      <c r="A25" s="53" t="s">
        <v>36</v>
      </c>
      <c r="B25" s="54">
        <v>182</v>
      </c>
      <c r="C25" s="54">
        <v>182</v>
      </c>
      <c r="D25" s="54">
        <v>39</v>
      </c>
      <c r="E25" s="54">
        <v>49</v>
      </c>
      <c r="F25" s="54">
        <v>47</v>
      </c>
      <c r="G25" s="21">
        <v>47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</row>
    <row r="26" spans="1:14" ht="12.75" customHeight="1" x14ac:dyDescent="0.2">
      <c r="A26" s="53" t="s">
        <v>37</v>
      </c>
      <c r="B26" s="54">
        <v>297</v>
      </c>
      <c r="C26" s="54">
        <v>297</v>
      </c>
      <c r="D26" s="54">
        <v>74</v>
      </c>
      <c r="E26" s="54">
        <v>76</v>
      </c>
      <c r="F26" s="54">
        <v>76</v>
      </c>
      <c r="G26" s="21">
        <v>71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</row>
    <row r="27" spans="1:14" ht="12.75" customHeight="1" x14ac:dyDescent="0.2">
      <c r="A27" s="53" t="s">
        <v>38</v>
      </c>
      <c r="B27" s="54">
        <v>288</v>
      </c>
      <c r="C27" s="54">
        <v>288</v>
      </c>
      <c r="D27" s="54">
        <v>73</v>
      </c>
      <c r="E27" s="54">
        <v>64</v>
      </c>
      <c r="F27" s="54">
        <v>88</v>
      </c>
      <c r="G27" s="21">
        <v>63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</row>
    <row r="28" spans="1:14" ht="12.75" customHeight="1" x14ac:dyDescent="0.2">
      <c r="A28" s="53" t="s">
        <v>39</v>
      </c>
      <c r="B28" s="54">
        <v>860</v>
      </c>
      <c r="C28" s="54">
        <v>860</v>
      </c>
      <c r="D28" s="54">
        <v>226</v>
      </c>
      <c r="E28" s="54">
        <v>210</v>
      </c>
      <c r="F28" s="54">
        <v>207</v>
      </c>
      <c r="G28" s="21">
        <v>217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</row>
    <row r="29" spans="1:14" ht="12.75" customHeight="1" x14ac:dyDescent="0.2">
      <c r="A29" s="53" t="s">
        <v>40</v>
      </c>
      <c r="B29" s="54">
        <v>355</v>
      </c>
      <c r="C29" s="54">
        <v>355</v>
      </c>
      <c r="D29" s="54">
        <v>78</v>
      </c>
      <c r="E29" s="54">
        <v>96</v>
      </c>
      <c r="F29" s="54">
        <v>85</v>
      </c>
      <c r="G29" s="21">
        <v>96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</row>
    <row r="30" spans="1:14" ht="12.75" customHeight="1" x14ac:dyDescent="0.2">
      <c r="A30" s="53" t="s">
        <v>41</v>
      </c>
      <c r="B30" s="54">
        <v>516</v>
      </c>
      <c r="C30" s="54">
        <v>516</v>
      </c>
      <c r="D30" s="54">
        <v>139</v>
      </c>
      <c r="E30" s="54">
        <v>118</v>
      </c>
      <c r="F30" s="54">
        <v>121</v>
      </c>
      <c r="G30" s="21">
        <v>138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</row>
    <row r="31" spans="1:14" ht="12.75" customHeight="1" x14ac:dyDescent="0.2">
      <c r="A31" s="53" t="s">
        <v>42</v>
      </c>
      <c r="B31" s="54">
        <v>1418</v>
      </c>
      <c r="C31" s="54">
        <v>1247</v>
      </c>
      <c r="D31" s="54">
        <v>327</v>
      </c>
      <c r="E31" s="54">
        <v>311</v>
      </c>
      <c r="F31" s="54">
        <v>280</v>
      </c>
      <c r="G31" s="21">
        <v>329</v>
      </c>
      <c r="H31" s="54">
        <v>171</v>
      </c>
      <c r="I31" s="54">
        <v>25</v>
      </c>
      <c r="J31" s="54">
        <v>20</v>
      </c>
      <c r="K31" s="54">
        <v>26</v>
      </c>
      <c r="L31" s="54">
        <v>42</v>
      </c>
      <c r="M31" s="54">
        <v>58</v>
      </c>
      <c r="N31" s="54"/>
    </row>
    <row r="32" spans="1:14" ht="12.75" customHeight="1" x14ac:dyDescent="0.2">
      <c r="A32" s="53" t="s">
        <v>43</v>
      </c>
      <c r="B32" s="54">
        <v>422</v>
      </c>
      <c r="C32" s="54">
        <v>271</v>
      </c>
      <c r="D32" s="54">
        <v>68</v>
      </c>
      <c r="E32" s="54">
        <v>86</v>
      </c>
      <c r="F32" s="54">
        <v>54</v>
      </c>
      <c r="G32" s="21">
        <v>63</v>
      </c>
      <c r="H32" s="54">
        <v>151</v>
      </c>
      <c r="I32" s="54">
        <v>25</v>
      </c>
      <c r="J32" s="54">
        <v>23</v>
      </c>
      <c r="K32" s="54">
        <v>35</v>
      </c>
      <c r="L32" s="54">
        <v>25</v>
      </c>
      <c r="M32" s="54">
        <v>43</v>
      </c>
    </row>
    <row r="33" spans="1:13" ht="12.75" customHeight="1" x14ac:dyDescent="0.2">
      <c r="A33" s="53" t="s">
        <v>44</v>
      </c>
      <c r="B33" s="54">
        <v>1205</v>
      </c>
      <c r="C33" s="54">
        <v>1205</v>
      </c>
      <c r="D33" s="54">
        <v>303</v>
      </c>
      <c r="E33" s="54">
        <v>307</v>
      </c>
      <c r="F33" s="54">
        <v>304</v>
      </c>
      <c r="G33" s="21">
        <v>291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</row>
    <row r="34" spans="1:13" ht="12.75" customHeight="1" x14ac:dyDescent="0.2">
      <c r="A34" s="53" t="s">
        <v>45</v>
      </c>
      <c r="B34" s="54">
        <v>1680</v>
      </c>
      <c r="C34" s="54">
        <v>1431</v>
      </c>
      <c r="D34" s="54">
        <v>363</v>
      </c>
      <c r="E34" s="54">
        <v>372</v>
      </c>
      <c r="F34" s="54">
        <v>344</v>
      </c>
      <c r="G34" s="21">
        <v>352</v>
      </c>
      <c r="H34" s="54">
        <v>249</v>
      </c>
      <c r="I34" s="54">
        <v>34</v>
      </c>
      <c r="J34" s="54">
        <v>45</v>
      </c>
      <c r="K34" s="54">
        <v>47</v>
      </c>
      <c r="L34" s="54">
        <v>41</v>
      </c>
      <c r="M34" s="54">
        <v>82</v>
      </c>
    </row>
    <row r="35" spans="1:13" s="58" customFormat="1" ht="17.100000000000001" customHeight="1" x14ac:dyDescent="0.2">
      <c r="A35" s="73" t="s">
        <v>46</v>
      </c>
      <c r="B35" s="74">
        <f>SUM(B17:B34)</f>
        <v>13740</v>
      </c>
      <c r="C35" s="74">
        <f t="shared" ref="C35:L35" si="1">SUM(C17:C34)</f>
        <v>12870</v>
      </c>
      <c r="D35" s="74">
        <f t="shared" si="1"/>
        <v>3222</v>
      </c>
      <c r="E35" s="74">
        <f t="shared" si="1"/>
        <v>3294</v>
      </c>
      <c r="F35" s="74">
        <f t="shared" si="1"/>
        <v>3141</v>
      </c>
      <c r="G35" s="74">
        <f t="shared" si="1"/>
        <v>3213</v>
      </c>
      <c r="H35" s="74">
        <f t="shared" si="1"/>
        <v>870</v>
      </c>
      <c r="I35" s="74">
        <f t="shared" si="1"/>
        <v>127</v>
      </c>
      <c r="J35" s="74">
        <f t="shared" si="1"/>
        <v>124</v>
      </c>
      <c r="K35" s="74">
        <f t="shared" si="1"/>
        <v>151</v>
      </c>
      <c r="L35" s="74">
        <f t="shared" si="1"/>
        <v>158</v>
      </c>
      <c r="M35" s="74">
        <f>SUM(M17:M34)</f>
        <v>310</v>
      </c>
    </row>
    <row r="36" spans="1:13" s="58" customFormat="1" ht="17.100000000000001" customHeight="1" x14ac:dyDescent="0.2">
      <c r="A36" s="73" t="s">
        <v>47</v>
      </c>
      <c r="B36" s="75">
        <f t="shared" ref="B36:M36" si="2">+B16+B35</f>
        <v>18660</v>
      </c>
      <c r="C36" s="75">
        <f t="shared" si="2"/>
        <v>17199</v>
      </c>
      <c r="D36" s="75">
        <f t="shared" si="2"/>
        <v>4283</v>
      </c>
      <c r="E36" s="75">
        <f t="shared" si="2"/>
        <v>4393</v>
      </c>
      <c r="F36" s="75">
        <f t="shared" si="2"/>
        <v>4255</v>
      </c>
      <c r="G36" s="75">
        <f t="shared" si="2"/>
        <v>4268</v>
      </c>
      <c r="H36" s="75">
        <f>+H16+H35</f>
        <v>1461</v>
      </c>
      <c r="I36" s="75">
        <f t="shared" si="2"/>
        <v>187</v>
      </c>
      <c r="J36" s="75">
        <f t="shared" si="2"/>
        <v>206</v>
      </c>
      <c r="K36" s="75">
        <f t="shared" si="2"/>
        <v>254</v>
      </c>
      <c r="L36" s="75">
        <f t="shared" si="2"/>
        <v>251</v>
      </c>
      <c r="M36" s="75">
        <f t="shared" si="2"/>
        <v>563</v>
      </c>
    </row>
    <row r="37" spans="1:13" s="66" customFormat="1" ht="12.75" customHeight="1" x14ac:dyDescent="0.25">
      <c r="A37" s="64" t="s">
        <v>75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3" ht="12.75" customHeight="1" x14ac:dyDescent="0.2">
      <c r="A38" s="59" t="s">
        <v>96</v>
      </c>
      <c r="B38" s="58"/>
      <c r="C38" s="58"/>
      <c r="D38" s="58"/>
    </row>
    <row r="39" spans="1:13" ht="6" customHeight="1" x14ac:dyDescent="0.2">
      <c r="A39" s="58"/>
      <c r="B39" s="58"/>
      <c r="C39" s="58"/>
      <c r="D39" s="58"/>
    </row>
    <row r="40" spans="1:13" ht="12.75" customHeight="1" x14ac:dyDescent="0.2">
      <c r="A40" s="60" t="s">
        <v>78</v>
      </c>
      <c r="B40" s="58"/>
      <c r="C40" s="58"/>
      <c r="D40" s="58"/>
    </row>
    <row r="62" spans="1:1" ht="10.199999999999999" x14ac:dyDescent="0.2">
      <c r="A62" s="45"/>
    </row>
    <row r="63" spans="1:1" ht="10.199999999999999" x14ac:dyDescent="0.2"/>
  </sheetData>
  <mergeCells count="6">
    <mergeCell ref="I6:M8"/>
    <mergeCell ref="A5:A9"/>
    <mergeCell ref="B5:B9"/>
    <mergeCell ref="C6:C9"/>
    <mergeCell ref="D6:G8"/>
    <mergeCell ref="H6:H9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A4" zoomScaleNormal="100" workbookViewId="0">
      <selection activeCell="H36" sqref="H36"/>
    </sheetView>
  </sheetViews>
  <sheetFormatPr baseColWidth="10" defaultColWidth="8.42578125" defaultRowHeight="12.75" customHeight="1" x14ac:dyDescent="0.2"/>
  <cols>
    <col min="1" max="1" width="21.7109375" style="20" customWidth="1"/>
    <col min="2" max="2" width="9.140625" style="20" customWidth="1"/>
    <col min="3" max="3" width="8" style="20" customWidth="1"/>
    <col min="4" max="7" width="7.7109375" style="20" customWidth="1"/>
    <col min="8" max="8" width="9.140625" style="20" customWidth="1"/>
    <col min="9" max="13" width="7.7109375" style="20" customWidth="1"/>
    <col min="14" max="14" width="6.7109375" style="20" customWidth="1"/>
    <col min="15" max="15" width="7.7109375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26.7" customHeight="1" x14ac:dyDescent="0.25">
      <c r="A3" s="68" t="s">
        <v>111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14.7" customHeight="1" thickBot="1" x14ac:dyDescent="0.25">
      <c r="A5" s="80" t="s">
        <v>8</v>
      </c>
      <c r="B5" s="81" t="s">
        <v>90</v>
      </c>
      <c r="C5" s="47" t="s">
        <v>4</v>
      </c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4" ht="14.7" customHeight="1" thickBot="1" x14ac:dyDescent="0.25">
      <c r="A6" s="77"/>
      <c r="B6" s="77"/>
      <c r="C6" s="82" t="s">
        <v>85</v>
      </c>
      <c r="D6" s="77" t="s">
        <v>77</v>
      </c>
      <c r="E6" s="78"/>
      <c r="F6" s="78"/>
      <c r="G6" s="78"/>
      <c r="H6" s="82" t="s">
        <v>89</v>
      </c>
      <c r="I6" s="77" t="s">
        <v>77</v>
      </c>
      <c r="J6" s="78"/>
      <c r="K6" s="78"/>
      <c r="L6" s="78"/>
      <c r="M6" s="79"/>
    </row>
    <row r="7" spans="1:14" ht="14.7" customHeight="1" thickBot="1" x14ac:dyDescent="0.25">
      <c r="A7" s="77"/>
      <c r="B7" s="77"/>
      <c r="C7" s="77"/>
      <c r="D7" s="78"/>
      <c r="E7" s="78"/>
      <c r="F7" s="78"/>
      <c r="G7" s="78"/>
      <c r="H7" s="77"/>
      <c r="I7" s="78"/>
      <c r="J7" s="78"/>
      <c r="K7" s="78"/>
      <c r="L7" s="78"/>
      <c r="M7" s="79"/>
    </row>
    <row r="8" spans="1:14" ht="14.7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4.7" customHeight="1" thickBot="1" x14ac:dyDescent="0.25">
      <c r="A9" s="77"/>
      <c r="B9" s="77"/>
      <c r="C9" s="77"/>
      <c r="D9" s="61">
        <v>1</v>
      </c>
      <c r="E9" s="61">
        <v>2</v>
      </c>
      <c r="F9" s="61">
        <v>3</v>
      </c>
      <c r="G9" s="62">
        <v>4</v>
      </c>
      <c r="H9" s="77"/>
      <c r="I9" s="61">
        <v>5</v>
      </c>
      <c r="J9" s="61">
        <v>6</v>
      </c>
      <c r="K9" s="61">
        <v>7</v>
      </c>
      <c r="L9" s="61">
        <v>8</v>
      </c>
      <c r="M9" s="51" t="s">
        <v>21</v>
      </c>
    </row>
    <row r="10" spans="1:14" ht="12.75" customHeight="1" x14ac:dyDescent="0.2">
      <c r="A10" s="5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 t="s">
        <v>76</v>
      </c>
    </row>
    <row r="11" spans="1:14" ht="12.75" customHeight="1" x14ac:dyDescent="0.2">
      <c r="A11" s="53" t="s">
        <v>22</v>
      </c>
      <c r="B11" s="54">
        <v>224</v>
      </c>
      <c r="C11" s="54">
        <v>224</v>
      </c>
      <c r="D11" s="54">
        <v>60</v>
      </c>
      <c r="E11" s="54">
        <v>59</v>
      </c>
      <c r="F11" s="54">
        <v>60</v>
      </c>
      <c r="G11" s="21">
        <v>45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</row>
    <row r="12" spans="1:14" ht="12.75" customHeight="1" x14ac:dyDescent="0.2">
      <c r="A12" s="53" t="s">
        <v>23</v>
      </c>
      <c r="B12" s="54">
        <v>1166</v>
      </c>
      <c r="C12" s="54">
        <v>943</v>
      </c>
      <c r="D12" s="54">
        <v>246</v>
      </c>
      <c r="E12" s="54">
        <v>256</v>
      </c>
      <c r="F12" s="54">
        <v>223</v>
      </c>
      <c r="G12" s="21">
        <v>218</v>
      </c>
      <c r="H12" s="54">
        <v>223</v>
      </c>
      <c r="I12" s="54">
        <v>29</v>
      </c>
      <c r="J12" s="54">
        <v>36</v>
      </c>
      <c r="K12" s="54">
        <v>24</v>
      </c>
      <c r="L12" s="54">
        <v>45</v>
      </c>
      <c r="M12" s="54">
        <v>89</v>
      </c>
    </row>
    <row r="13" spans="1:14" ht="12.75" customHeight="1" x14ac:dyDescent="0.2">
      <c r="A13" s="53" t="s">
        <v>24</v>
      </c>
      <c r="B13" s="54">
        <v>1671</v>
      </c>
      <c r="C13" s="54">
        <v>1280</v>
      </c>
      <c r="D13" s="21">
        <v>323</v>
      </c>
      <c r="E13" s="21">
        <v>325</v>
      </c>
      <c r="F13" s="21">
        <v>306</v>
      </c>
      <c r="G13" s="21">
        <v>326</v>
      </c>
      <c r="H13" s="54">
        <v>391</v>
      </c>
      <c r="I13" s="21">
        <v>52</v>
      </c>
      <c r="J13" s="21">
        <v>55</v>
      </c>
      <c r="K13" s="21">
        <v>68</v>
      </c>
      <c r="L13" s="21">
        <v>74</v>
      </c>
      <c r="M13" s="21">
        <v>142</v>
      </c>
      <c r="N13" s="54"/>
    </row>
    <row r="14" spans="1:14" ht="12.75" customHeight="1" x14ac:dyDescent="0.2">
      <c r="A14" s="53" t="s">
        <v>25</v>
      </c>
      <c r="B14" s="54">
        <v>948</v>
      </c>
      <c r="C14" s="54">
        <v>948</v>
      </c>
      <c r="D14" s="21">
        <v>226</v>
      </c>
      <c r="E14" s="21">
        <v>231</v>
      </c>
      <c r="F14" s="21">
        <v>236</v>
      </c>
      <c r="G14" s="21">
        <v>255</v>
      </c>
      <c r="H14" s="54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</row>
    <row r="15" spans="1:14" ht="12.75" customHeight="1" x14ac:dyDescent="0.2">
      <c r="A15" s="53" t="s">
        <v>26</v>
      </c>
      <c r="B15" s="54">
        <v>968</v>
      </c>
      <c r="C15" s="54">
        <v>968</v>
      </c>
      <c r="D15" s="21">
        <v>264</v>
      </c>
      <c r="E15" s="21">
        <v>244</v>
      </c>
      <c r="F15" s="21">
        <v>244</v>
      </c>
      <c r="G15" s="21">
        <v>216</v>
      </c>
      <c r="H15" s="54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</row>
    <row r="16" spans="1:14" s="58" customFormat="1" ht="17.100000000000001" customHeight="1" x14ac:dyDescent="0.2">
      <c r="A16" s="73" t="s">
        <v>27</v>
      </c>
      <c r="B16" s="74">
        <f>SUM(B11:B15)</f>
        <v>4977</v>
      </c>
      <c r="C16" s="74">
        <f t="shared" ref="C16:M16" si="0">SUM(C11:C15)</f>
        <v>4363</v>
      </c>
      <c r="D16" s="74">
        <f t="shared" si="0"/>
        <v>1119</v>
      </c>
      <c r="E16" s="74">
        <f t="shared" si="0"/>
        <v>1115</v>
      </c>
      <c r="F16" s="74">
        <f t="shared" si="0"/>
        <v>1069</v>
      </c>
      <c r="G16" s="74">
        <f t="shared" si="0"/>
        <v>1060</v>
      </c>
      <c r="H16" s="74">
        <f t="shared" si="0"/>
        <v>614</v>
      </c>
      <c r="I16" s="74">
        <f t="shared" si="0"/>
        <v>81</v>
      </c>
      <c r="J16" s="74">
        <f t="shared" si="0"/>
        <v>91</v>
      </c>
      <c r="K16" s="74">
        <f t="shared" si="0"/>
        <v>92</v>
      </c>
      <c r="L16" s="74">
        <f t="shared" si="0"/>
        <v>119</v>
      </c>
      <c r="M16" s="74">
        <f t="shared" si="0"/>
        <v>231</v>
      </c>
    </row>
    <row r="17" spans="1:14" ht="12.75" customHeight="1" x14ac:dyDescent="0.2">
      <c r="A17" s="53" t="s">
        <v>28</v>
      </c>
      <c r="B17" s="54">
        <v>2424</v>
      </c>
      <c r="C17" s="54">
        <v>2340</v>
      </c>
      <c r="D17" s="54">
        <v>594</v>
      </c>
      <c r="E17" s="54">
        <v>565</v>
      </c>
      <c r="F17" s="54">
        <v>583</v>
      </c>
      <c r="G17" s="21">
        <v>598</v>
      </c>
      <c r="H17" s="54">
        <v>84</v>
      </c>
      <c r="I17" s="54">
        <v>0</v>
      </c>
      <c r="J17" s="54">
        <v>0</v>
      </c>
      <c r="K17" s="54">
        <v>0</v>
      </c>
      <c r="L17" s="54">
        <v>0</v>
      </c>
      <c r="M17" s="54">
        <v>84</v>
      </c>
    </row>
    <row r="18" spans="1:14" ht="12.75" customHeight="1" x14ac:dyDescent="0.2">
      <c r="A18" s="53" t="s">
        <v>29</v>
      </c>
      <c r="B18" s="54">
        <v>271</v>
      </c>
      <c r="C18" s="54">
        <v>271</v>
      </c>
      <c r="D18" s="54">
        <v>66</v>
      </c>
      <c r="E18" s="54">
        <v>61</v>
      </c>
      <c r="F18" s="54">
        <v>77</v>
      </c>
      <c r="G18" s="21">
        <v>67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</row>
    <row r="19" spans="1:14" ht="12.75" customHeight="1" x14ac:dyDescent="0.2">
      <c r="A19" s="53" t="s">
        <v>30</v>
      </c>
      <c r="B19" s="54">
        <v>418</v>
      </c>
      <c r="C19" s="54">
        <v>418</v>
      </c>
      <c r="D19" s="54">
        <v>116</v>
      </c>
      <c r="E19" s="54">
        <v>100</v>
      </c>
      <c r="F19" s="54">
        <v>85</v>
      </c>
      <c r="G19" s="21">
        <v>117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</row>
    <row r="20" spans="1:14" ht="12.75" customHeight="1" x14ac:dyDescent="0.2">
      <c r="A20" s="53" t="s">
        <v>31</v>
      </c>
      <c r="B20" s="54">
        <v>541</v>
      </c>
      <c r="C20" s="54">
        <v>541</v>
      </c>
      <c r="D20" s="54">
        <v>128</v>
      </c>
      <c r="E20" s="54">
        <v>134</v>
      </c>
      <c r="F20" s="54">
        <v>141</v>
      </c>
      <c r="G20" s="21">
        <v>138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</row>
    <row r="21" spans="1:14" ht="12.75" customHeight="1" x14ac:dyDescent="0.2">
      <c r="A21" s="53" t="s">
        <v>32</v>
      </c>
      <c r="B21" s="54">
        <v>1073</v>
      </c>
      <c r="C21" s="54">
        <v>799</v>
      </c>
      <c r="D21" s="54">
        <v>202</v>
      </c>
      <c r="E21" s="54">
        <v>199</v>
      </c>
      <c r="F21" s="54">
        <v>182</v>
      </c>
      <c r="G21" s="21">
        <v>216</v>
      </c>
      <c r="H21" s="54">
        <v>274</v>
      </c>
      <c r="I21" s="54">
        <v>43</v>
      </c>
      <c r="J21" s="54">
        <v>45</v>
      </c>
      <c r="K21" s="54">
        <v>47</v>
      </c>
      <c r="L21" s="54">
        <v>44</v>
      </c>
      <c r="M21" s="54">
        <v>95</v>
      </c>
      <c r="N21" s="54"/>
    </row>
    <row r="22" spans="1:14" ht="12.75" customHeight="1" x14ac:dyDescent="0.2">
      <c r="A22" s="53" t="s">
        <v>33</v>
      </c>
      <c r="B22" s="54">
        <v>368</v>
      </c>
      <c r="C22" s="54">
        <v>368</v>
      </c>
      <c r="D22" s="54">
        <v>99</v>
      </c>
      <c r="E22" s="54">
        <v>84</v>
      </c>
      <c r="F22" s="54">
        <v>76</v>
      </c>
      <c r="G22" s="21">
        <v>109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/>
    </row>
    <row r="23" spans="1:14" ht="12.75" customHeight="1" x14ac:dyDescent="0.2">
      <c r="A23" s="53" t="s">
        <v>34</v>
      </c>
      <c r="B23" s="54">
        <v>805</v>
      </c>
      <c r="C23" s="54">
        <v>805</v>
      </c>
      <c r="D23" s="54">
        <v>209</v>
      </c>
      <c r="E23" s="54">
        <v>195</v>
      </c>
      <c r="F23" s="54">
        <v>194</v>
      </c>
      <c r="G23" s="21">
        <v>207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</row>
    <row r="24" spans="1:14" ht="12.75" customHeight="1" x14ac:dyDescent="0.2">
      <c r="A24" s="53" t="s">
        <v>35</v>
      </c>
      <c r="B24" s="54">
        <v>825</v>
      </c>
      <c r="C24" s="54">
        <v>809</v>
      </c>
      <c r="D24" s="54">
        <v>189</v>
      </c>
      <c r="E24" s="54">
        <v>220</v>
      </c>
      <c r="F24" s="54">
        <v>201</v>
      </c>
      <c r="G24" s="21">
        <v>199</v>
      </c>
      <c r="H24" s="54">
        <v>16</v>
      </c>
      <c r="I24" s="54">
        <v>0</v>
      </c>
      <c r="J24" s="54">
        <v>0</v>
      </c>
      <c r="K24" s="54">
        <v>0</v>
      </c>
      <c r="L24" s="54">
        <v>0</v>
      </c>
      <c r="M24" s="54">
        <v>16</v>
      </c>
    </row>
    <row r="25" spans="1:14" ht="12.75" customHeight="1" x14ac:dyDescent="0.2">
      <c r="A25" s="53" t="s">
        <v>36</v>
      </c>
      <c r="B25" s="54">
        <v>192</v>
      </c>
      <c r="C25" s="54">
        <v>192</v>
      </c>
      <c r="D25" s="54">
        <v>52</v>
      </c>
      <c r="E25" s="54">
        <v>48</v>
      </c>
      <c r="F25" s="54">
        <v>46</v>
      </c>
      <c r="G25" s="21">
        <v>46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</row>
    <row r="26" spans="1:14" ht="12.75" customHeight="1" x14ac:dyDescent="0.2">
      <c r="A26" s="53" t="s">
        <v>37</v>
      </c>
      <c r="B26" s="54">
        <v>295</v>
      </c>
      <c r="C26" s="54">
        <v>295</v>
      </c>
      <c r="D26" s="54">
        <v>72</v>
      </c>
      <c r="E26" s="54">
        <v>75</v>
      </c>
      <c r="F26" s="54">
        <v>72</v>
      </c>
      <c r="G26" s="21">
        <v>76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</row>
    <row r="27" spans="1:14" ht="12.75" customHeight="1" x14ac:dyDescent="0.2">
      <c r="A27" s="53" t="s">
        <v>38</v>
      </c>
      <c r="B27" s="54">
        <v>306</v>
      </c>
      <c r="C27" s="54">
        <v>306</v>
      </c>
      <c r="D27" s="54">
        <v>71</v>
      </c>
      <c r="E27" s="54">
        <v>87</v>
      </c>
      <c r="F27" s="54">
        <v>61</v>
      </c>
      <c r="G27" s="21">
        <v>87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</row>
    <row r="28" spans="1:14" ht="12.75" customHeight="1" x14ac:dyDescent="0.2">
      <c r="A28" s="53" t="s">
        <v>39</v>
      </c>
      <c r="B28" s="54">
        <v>898</v>
      </c>
      <c r="C28" s="54">
        <v>898</v>
      </c>
      <c r="D28" s="54">
        <v>216</v>
      </c>
      <c r="E28" s="54">
        <v>217</v>
      </c>
      <c r="F28" s="54">
        <v>232</v>
      </c>
      <c r="G28" s="21">
        <v>233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</row>
    <row r="29" spans="1:14" ht="12.75" customHeight="1" x14ac:dyDescent="0.2">
      <c r="A29" s="53" t="s">
        <v>40</v>
      </c>
      <c r="B29" s="54">
        <v>365</v>
      </c>
      <c r="C29" s="54">
        <v>365</v>
      </c>
      <c r="D29" s="54">
        <v>93</v>
      </c>
      <c r="E29" s="54">
        <v>90</v>
      </c>
      <c r="F29" s="54">
        <v>97</v>
      </c>
      <c r="G29" s="21">
        <v>85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</row>
    <row r="30" spans="1:14" ht="12.75" customHeight="1" x14ac:dyDescent="0.2">
      <c r="A30" s="53" t="s">
        <v>41</v>
      </c>
      <c r="B30" s="54">
        <v>511</v>
      </c>
      <c r="C30" s="54">
        <v>511</v>
      </c>
      <c r="D30" s="54">
        <v>121</v>
      </c>
      <c r="E30" s="54">
        <v>124</v>
      </c>
      <c r="F30" s="54">
        <v>135</v>
      </c>
      <c r="G30" s="21">
        <v>131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</row>
    <row r="31" spans="1:14" ht="12.75" customHeight="1" x14ac:dyDescent="0.2">
      <c r="A31" s="53" t="s">
        <v>42</v>
      </c>
      <c r="B31" s="54">
        <v>1426</v>
      </c>
      <c r="C31" s="54">
        <v>1250</v>
      </c>
      <c r="D31" s="54">
        <v>316</v>
      </c>
      <c r="E31" s="54">
        <v>285</v>
      </c>
      <c r="F31" s="54">
        <v>312</v>
      </c>
      <c r="G31" s="21">
        <v>337</v>
      </c>
      <c r="H31" s="54">
        <v>176</v>
      </c>
      <c r="I31" s="54">
        <v>21</v>
      </c>
      <c r="J31" s="54">
        <v>23</v>
      </c>
      <c r="K31" s="54">
        <v>37</v>
      </c>
      <c r="L31" s="54">
        <v>23</v>
      </c>
      <c r="M31" s="54">
        <v>72</v>
      </c>
      <c r="N31" s="54"/>
    </row>
    <row r="32" spans="1:14" ht="12.75" customHeight="1" x14ac:dyDescent="0.2">
      <c r="A32" s="53" t="s">
        <v>43</v>
      </c>
      <c r="B32" s="54">
        <v>446</v>
      </c>
      <c r="C32" s="54">
        <v>276</v>
      </c>
      <c r="D32" s="54">
        <v>86</v>
      </c>
      <c r="E32" s="54">
        <v>52</v>
      </c>
      <c r="F32" s="54">
        <v>65</v>
      </c>
      <c r="G32" s="21">
        <v>73</v>
      </c>
      <c r="H32" s="54">
        <v>170</v>
      </c>
      <c r="I32" s="54">
        <v>24</v>
      </c>
      <c r="J32" s="54">
        <v>40</v>
      </c>
      <c r="K32" s="54">
        <v>24</v>
      </c>
      <c r="L32" s="54">
        <v>26</v>
      </c>
      <c r="M32" s="54">
        <v>56</v>
      </c>
    </row>
    <row r="33" spans="1:13" ht="12.75" customHeight="1" x14ac:dyDescent="0.2">
      <c r="A33" s="53" t="s">
        <v>44</v>
      </c>
      <c r="B33" s="54">
        <v>1234</v>
      </c>
      <c r="C33" s="54">
        <v>1213</v>
      </c>
      <c r="D33" s="54">
        <v>305</v>
      </c>
      <c r="E33" s="54">
        <v>317</v>
      </c>
      <c r="F33" s="54">
        <v>292</v>
      </c>
      <c r="G33" s="21">
        <v>299</v>
      </c>
      <c r="H33" s="54">
        <v>21</v>
      </c>
      <c r="I33" s="54">
        <v>0</v>
      </c>
      <c r="J33" s="54">
        <v>0</v>
      </c>
      <c r="K33" s="54">
        <v>0</v>
      </c>
      <c r="L33" s="54">
        <v>0</v>
      </c>
      <c r="M33" s="54">
        <v>21</v>
      </c>
    </row>
    <row r="34" spans="1:13" ht="12.75" customHeight="1" x14ac:dyDescent="0.2">
      <c r="A34" s="53" t="s">
        <v>45</v>
      </c>
      <c r="B34" s="54">
        <v>1716</v>
      </c>
      <c r="C34" s="54">
        <v>1435</v>
      </c>
      <c r="D34" s="54">
        <v>378</v>
      </c>
      <c r="E34" s="54">
        <v>357</v>
      </c>
      <c r="F34" s="54">
        <v>349</v>
      </c>
      <c r="G34" s="21">
        <v>351</v>
      </c>
      <c r="H34" s="54">
        <v>281</v>
      </c>
      <c r="I34" s="54">
        <v>42</v>
      </c>
      <c r="J34" s="54">
        <v>42</v>
      </c>
      <c r="K34" s="54">
        <v>40</v>
      </c>
      <c r="L34" s="54">
        <v>47</v>
      </c>
      <c r="M34" s="54">
        <v>110</v>
      </c>
    </row>
    <row r="35" spans="1:13" s="58" customFormat="1" ht="17.100000000000001" customHeight="1" x14ac:dyDescent="0.2">
      <c r="A35" s="73" t="s">
        <v>46</v>
      </c>
      <c r="B35" s="74">
        <f>SUM(B17:B34)</f>
        <v>14114</v>
      </c>
      <c r="C35" s="74">
        <f t="shared" ref="C35:L35" si="1">SUM(C17:C34)</f>
        <v>13092</v>
      </c>
      <c r="D35" s="74">
        <f t="shared" si="1"/>
        <v>3313</v>
      </c>
      <c r="E35" s="74">
        <f t="shared" si="1"/>
        <v>3210</v>
      </c>
      <c r="F35" s="74">
        <f t="shared" si="1"/>
        <v>3200</v>
      </c>
      <c r="G35" s="74">
        <f t="shared" si="1"/>
        <v>3369</v>
      </c>
      <c r="H35" s="74">
        <f t="shared" si="1"/>
        <v>1022</v>
      </c>
      <c r="I35" s="74">
        <f t="shared" si="1"/>
        <v>130</v>
      </c>
      <c r="J35" s="74">
        <f t="shared" si="1"/>
        <v>150</v>
      </c>
      <c r="K35" s="74">
        <f t="shared" si="1"/>
        <v>148</v>
      </c>
      <c r="L35" s="74">
        <f t="shared" si="1"/>
        <v>140</v>
      </c>
      <c r="M35" s="74">
        <f>SUM(M17:M34)</f>
        <v>454</v>
      </c>
    </row>
    <row r="36" spans="1:13" s="58" customFormat="1" ht="17.100000000000001" customHeight="1" x14ac:dyDescent="0.2">
      <c r="A36" s="73" t="s">
        <v>47</v>
      </c>
      <c r="B36" s="75">
        <f t="shared" ref="B36:M36" si="2">+B16+B35</f>
        <v>19091</v>
      </c>
      <c r="C36" s="75">
        <f t="shared" si="2"/>
        <v>17455</v>
      </c>
      <c r="D36" s="75">
        <f t="shared" si="2"/>
        <v>4432</v>
      </c>
      <c r="E36" s="75">
        <f t="shared" si="2"/>
        <v>4325</v>
      </c>
      <c r="F36" s="75">
        <f t="shared" si="2"/>
        <v>4269</v>
      </c>
      <c r="G36" s="75">
        <f t="shared" si="2"/>
        <v>4429</v>
      </c>
      <c r="H36" s="75">
        <f t="shared" si="2"/>
        <v>1636</v>
      </c>
      <c r="I36" s="75">
        <f t="shared" si="2"/>
        <v>211</v>
      </c>
      <c r="J36" s="75">
        <f t="shared" si="2"/>
        <v>241</v>
      </c>
      <c r="K36" s="75">
        <f t="shared" si="2"/>
        <v>240</v>
      </c>
      <c r="L36" s="75">
        <f t="shared" si="2"/>
        <v>259</v>
      </c>
      <c r="M36" s="75">
        <f t="shared" si="2"/>
        <v>685</v>
      </c>
    </row>
    <row r="37" spans="1:13" s="66" customFormat="1" ht="12.75" customHeight="1" x14ac:dyDescent="0.25">
      <c r="A37" s="64" t="s">
        <v>75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3" ht="12.75" customHeight="1" x14ac:dyDescent="0.2">
      <c r="A38" s="59" t="s">
        <v>96</v>
      </c>
      <c r="B38" s="58"/>
      <c r="C38" s="58"/>
      <c r="D38" s="58"/>
    </row>
    <row r="39" spans="1:13" ht="6" customHeight="1" x14ac:dyDescent="0.2">
      <c r="A39" s="58"/>
      <c r="B39" s="58"/>
      <c r="C39" s="58"/>
      <c r="D39" s="58"/>
    </row>
    <row r="40" spans="1:13" ht="12.75" customHeight="1" x14ac:dyDescent="0.2">
      <c r="A40" s="60" t="s">
        <v>78</v>
      </c>
      <c r="B40" s="58"/>
      <c r="C40" s="58"/>
      <c r="D40" s="58"/>
    </row>
    <row r="62" spans="1:1" ht="10.199999999999999" x14ac:dyDescent="0.2">
      <c r="A62" s="45"/>
    </row>
    <row r="63" spans="1:1" ht="10.199999999999999" x14ac:dyDescent="0.2"/>
  </sheetData>
  <mergeCells count="6">
    <mergeCell ref="I6:M8"/>
    <mergeCell ref="A5:A9"/>
    <mergeCell ref="B5:B9"/>
    <mergeCell ref="C6:C9"/>
    <mergeCell ref="D6:G8"/>
    <mergeCell ref="H6:H9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Normal="100" workbookViewId="0">
      <selection activeCell="K21" sqref="K21"/>
    </sheetView>
  </sheetViews>
  <sheetFormatPr baseColWidth="10" defaultColWidth="8.42578125" defaultRowHeight="12.75" customHeight="1" x14ac:dyDescent="0.2"/>
  <cols>
    <col min="1" max="1" width="21.7109375" style="20" customWidth="1"/>
    <col min="2" max="2" width="9.140625" style="20" customWidth="1"/>
    <col min="3" max="3" width="8" style="20" customWidth="1"/>
    <col min="4" max="7" width="7.7109375" style="20" customWidth="1"/>
    <col min="8" max="8" width="9.140625" style="20" customWidth="1"/>
    <col min="9" max="13" width="7.7109375" style="20" customWidth="1"/>
    <col min="14" max="14" width="6.7109375" style="20" customWidth="1"/>
    <col min="15" max="15" width="7.7109375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26.7" customHeight="1" x14ac:dyDescent="0.25">
      <c r="A3" s="68" t="s">
        <v>110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14.7" customHeight="1" thickBot="1" x14ac:dyDescent="0.25">
      <c r="A5" s="80" t="s">
        <v>8</v>
      </c>
      <c r="B5" s="81" t="s">
        <v>90</v>
      </c>
      <c r="C5" s="47" t="s">
        <v>4</v>
      </c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4" ht="14.7" customHeight="1" thickBot="1" x14ac:dyDescent="0.25">
      <c r="A6" s="77"/>
      <c r="B6" s="77"/>
      <c r="C6" s="82" t="s">
        <v>85</v>
      </c>
      <c r="D6" s="77" t="s">
        <v>77</v>
      </c>
      <c r="E6" s="78"/>
      <c r="F6" s="78"/>
      <c r="G6" s="78"/>
      <c r="H6" s="82" t="s">
        <v>89</v>
      </c>
      <c r="I6" s="77" t="s">
        <v>77</v>
      </c>
      <c r="J6" s="78"/>
      <c r="K6" s="78"/>
      <c r="L6" s="78"/>
      <c r="M6" s="79"/>
    </row>
    <row r="7" spans="1:14" ht="14.7" customHeight="1" thickBot="1" x14ac:dyDescent="0.25">
      <c r="A7" s="77"/>
      <c r="B7" s="77"/>
      <c r="C7" s="77"/>
      <c r="D7" s="78"/>
      <c r="E7" s="78"/>
      <c r="F7" s="78"/>
      <c r="G7" s="78"/>
      <c r="H7" s="77"/>
      <c r="I7" s="78"/>
      <c r="J7" s="78"/>
      <c r="K7" s="78"/>
      <c r="L7" s="78"/>
      <c r="M7" s="79"/>
    </row>
    <row r="8" spans="1:14" ht="14.7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4.7" customHeight="1" thickBot="1" x14ac:dyDescent="0.25">
      <c r="A9" s="77"/>
      <c r="B9" s="77"/>
      <c r="C9" s="77"/>
      <c r="D9" s="61">
        <v>1</v>
      </c>
      <c r="E9" s="61">
        <v>2</v>
      </c>
      <c r="F9" s="61">
        <v>3</v>
      </c>
      <c r="G9" s="62">
        <v>4</v>
      </c>
      <c r="H9" s="77"/>
      <c r="I9" s="61">
        <v>5</v>
      </c>
      <c r="J9" s="61">
        <v>6</v>
      </c>
      <c r="K9" s="61">
        <v>7</v>
      </c>
      <c r="L9" s="61">
        <v>8</v>
      </c>
      <c r="M9" s="51" t="s">
        <v>21</v>
      </c>
    </row>
    <row r="10" spans="1:14" ht="12.75" customHeight="1" x14ac:dyDescent="0.2">
      <c r="A10" s="5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 t="s">
        <v>76</v>
      </c>
    </row>
    <row r="11" spans="1:14" ht="12.75" customHeight="1" x14ac:dyDescent="0.2">
      <c r="A11" s="53" t="s">
        <v>22</v>
      </c>
      <c r="B11" s="54">
        <f>C11+H11</f>
        <v>212</v>
      </c>
      <c r="C11" s="54">
        <f>SUM(D11:G11)</f>
        <v>212</v>
      </c>
      <c r="D11" s="54">
        <v>61</v>
      </c>
      <c r="E11" s="54">
        <v>60</v>
      </c>
      <c r="F11" s="54">
        <v>48</v>
      </c>
      <c r="G11" s="21">
        <v>43</v>
      </c>
      <c r="H11" s="54">
        <f>I11+J11+K11+L11+M11</f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</row>
    <row r="12" spans="1:14" ht="12.75" customHeight="1" x14ac:dyDescent="0.2">
      <c r="A12" s="53" t="s">
        <v>23</v>
      </c>
      <c r="B12" s="54">
        <f>C12+H12</f>
        <v>1260</v>
      </c>
      <c r="C12" s="54">
        <f>SUM(D12:G12)</f>
        <v>1015</v>
      </c>
      <c r="D12" s="54">
        <v>267</v>
      </c>
      <c r="E12" s="54">
        <v>229</v>
      </c>
      <c r="F12" s="54">
        <v>236</v>
      </c>
      <c r="G12" s="21">
        <v>283</v>
      </c>
      <c r="H12" s="54">
        <f>I12+J12+K12+L12+M12</f>
        <v>245</v>
      </c>
      <c r="I12" s="54">
        <v>35</v>
      </c>
      <c r="J12" s="54">
        <v>28</v>
      </c>
      <c r="K12" s="54">
        <v>33</v>
      </c>
      <c r="L12" s="54">
        <v>36</v>
      </c>
      <c r="M12" s="54">
        <v>113</v>
      </c>
    </row>
    <row r="13" spans="1:14" ht="12.75" customHeight="1" x14ac:dyDescent="0.2">
      <c r="A13" s="53" t="s">
        <v>24</v>
      </c>
      <c r="B13" s="54">
        <f>C13+H13</f>
        <v>1678</v>
      </c>
      <c r="C13" s="54">
        <f>SUM(D13:G13)</f>
        <v>1281</v>
      </c>
      <c r="D13" s="21">
        <v>326</v>
      </c>
      <c r="E13" s="21">
        <v>306</v>
      </c>
      <c r="F13" s="21">
        <v>336</v>
      </c>
      <c r="G13" s="21">
        <v>313</v>
      </c>
      <c r="H13" s="54">
        <f>I13+J13+K13+L13+M13</f>
        <v>397</v>
      </c>
      <c r="I13" s="21">
        <v>52</v>
      </c>
      <c r="J13" s="21">
        <v>57</v>
      </c>
      <c r="K13" s="21">
        <v>61</v>
      </c>
      <c r="L13" s="21">
        <v>82</v>
      </c>
      <c r="M13" s="21">
        <v>145</v>
      </c>
      <c r="N13" s="54"/>
    </row>
    <row r="14" spans="1:14" ht="12.75" customHeight="1" x14ac:dyDescent="0.2">
      <c r="A14" s="53" t="s">
        <v>25</v>
      </c>
      <c r="B14" s="54">
        <f>C14+H14</f>
        <v>1090</v>
      </c>
      <c r="C14" s="54">
        <f>SUM(D14:G14)</f>
        <v>1031</v>
      </c>
      <c r="D14" s="21">
        <v>237</v>
      </c>
      <c r="E14" s="21">
        <v>247</v>
      </c>
      <c r="F14" s="21">
        <v>267</v>
      </c>
      <c r="G14" s="21">
        <v>280</v>
      </c>
      <c r="H14" s="54">
        <f>I14+J14+K14+L14+M14</f>
        <v>59</v>
      </c>
      <c r="I14" s="21">
        <v>0</v>
      </c>
      <c r="J14" s="21">
        <v>0</v>
      </c>
      <c r="K14" s="21">
        <v>0</v>
      </c>
      <c r="L14" s="21">
        <v>0</v>
      </c>
      <c r="M14" s="21">
        <v>59</v>
      </c>
    </row>
    <row r="15" spans="1:14" ht="12.75" customHeight="1" x14ac:dyDescent="0.2">
      <c r="A15" s="53" t="s">
        <v>26</v>
      </c>
      <c r="B15" s="54">
        <f>C15+H15</f>
        <v>942</v>
      </c>
      <c r="C15" s="54">
        <f>SUM(D15:G15)</f>
        <v>917</v>
      </c>
      <c r="D15" s="21">
        <v>242</v>
      </c>
      <c r="E15" s="21">
        <v>251</v>
      </c>
      <c r="F15" s="21">
        <v>216</v>
      </c>
      <c r="G15" s="21">
        <v>208</v>
      </c>
      <c r="H15" s="54">
        <f>I15+J15+K15+L15+M15</f>
        <v>25</v>
      </c>
      <c r="I15" s="21">
        <v>0</v>
      </c>
      <c r="J15" s="21">
        <v>0</v>
      </c>
      <c r="K15" s="21">
        <v>0</v>
      </c>
      <c r="L15" s="21">
        <v>0</v>
      </c>
      <c r="M15" s="21">
        <v>25</v>
      </c>
    </row>
    <row r="16" spans="1:14" s="58" customFormat="1" ht="17.100000000000001" customHeight="1" x14ac:dyDescent="0.2">
      <c r="A16" s="73" t="s">
        <v>27</v>
      </c>
      <c r="B16" s="74">
        <f>SUM(B11:B15)</f>
        <v>5182</v>
      </c>
      <c r="C16" s="74">
        <f>SUM(C11:C15)</f>
        <v>4456</v>
      </c>
      <c r="D16" s="74">
        <f>SUM(D11:D15)</f>
        <v>1133</v>
      </c>
      <c r="E16" s="74">
        <f t="shared" ref="E16:M16" si="0">SUM(E11:E15)</f>
        <v>1093</v>
      </c>
      <c r="F16" s="74">
        <f t="shared" si="0"/>
        <v>1103</v>
      </c>
      <c r="G16" s="74">
        <f t="shared" si="0"/>
        <v>1127</v>
      </c>
      <c r="H16" s="74">
        <f t="shared" si="0"/>
        <v>726</v>
      </c>
      <c r="I16" s="74">
        <f t="shared" si="0"/>
        <v>87</v>
      </c>
      <c r="J16" s="74">
        <f t="shared" si="0"/>
        <v>85</v>
      </c>
      <c r="K16" s="74">
        <f t="shared" si="0"/>
        <v>94</v>
      </c>
      <c r="L16" s="74">
        <f t="shared" si="0"/>
        <v>118</v>
      </c>
      <c r="M16" s="74">
        <f t="shared" si="0"/>
        <v>342</v>
      </c>
    </row>
    <row r="17" spans="1:14" ht="12.75" customHeight="1" x14ac:dyDescent="0.2">
      <c r="A17" s="53" t="s">
        <v>28</v>
      </c>
      <c r="B17" s="54">
        <f t="shared" ref="B17:B34" si="1">C17+H17</f>
        <v>2488</v>
      </c>
      <c r="C17" s="54">
        <f t="shared" ref="C17:C34" si="2">SUM(D17:G17)</f>
        <v>2341</v>
      </c>
      <c r="D17" s="54">
        <v>564</v>
      </c>
      <c r="E17" s="54">
        <v>602</v>
      </c>
      <c r="F17" s="54">
        <v>591</v>
      </c>
      <c r="G17" s="21">
        <v>584</v>
      </c>
      <c r="H17" s="54">
        <f>SUM(I17:M17)</f>
        <v>147</v>
      </c>
      <c r="I17" s="54">
        <v>0</v>
      </c>
      <c r="J17" s="54">
        <v>0</v>
      </c>
      <c r="K17" s="54">
        <v>0</v>
      </c>
      <c r="L17" s="54">
        <v>41</v>
      </c>
      <c r="M17" s="54">
        <v>106</v>
      </c>
    </row>
    <row r="18" spans="1:14" ht="12.75" customHeight="1" x14ac:dyDescent="0.2">
      <c r="A18" s="53" t="s">
        <v>29</v>
      </c>
      <c r="B18" s="54">
        <f t="shared" si="1"/>
        <v>283</v>
      </c>
      <c r="C18" s="54">
        <f t="shared" si="2"/>
        <v>283</v>
      </c>
      <c r="D18" s="54">
        <v>64</v>
      </c>
      <c r="E18" s="54">
        <v>77</v>
      </c>
      <c r="F18" s="54">
        <v>70</v>
      </c>
      <c r="G18" s="21">
        <v>72</v>
      </c>
      <c r="H18" s="54">
        <f>SUM(I18:M18)</f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</row>
    <row r="19" spans="1:14" ht="12.75" customHeight="1" x14ac:dyDescent="0.2">
      <c r="A19" s="53" t="s">
        <v>30</v>
      </c>
      <c r="B19" s="54">
        <f t="shared" si="1"/>
        <v>416</v>
      </c>
      <c r="C19" s="54">
        <f t="shared" si="2"/>
        <v>416</v>
      </c>
      <c r="D19" s="54">
        <v>107</v>
      </c>
      <c r="E19" s="54">
        <v>92</v>
      </c>
      <c r="F19" s="54">
        <v>121</v>
      </c>
      <c r="G19" s="21">
        <v>96</v>
      </c>
      <c r="H19" s="54">
        <f>SUM(I19:M19)</f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</row>
    <row r="20" spans="1:14" ht="12.75" customHeight="1" x14ac:dyDescent="0.2">
      <c r="A20" s="53" t="s">
        <v>31</v>
      </c>
      <c r="B20" s="54">
        <f t="shared" si="1"/>
        <v>570</v>
      </c>
      <c r="C20" s="54">
        <f t="shared" si="2"/>
        <v>570</v>
      </c>
      <c r="D20" s="54">
        <v>141</v>
      </c>
      <c r="E20" s="54">
        <v>149</v>
      </c>
      <c r="F20" s="54">
        <v>138</v>
      </c>
      <c r="G20" s="21">
        <v>142</v>
      </c>
      <c r="H20" s="54">
        <f t="shared" ref="H20:H34" si="3">SUM(I20:M20)</f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</row>
    <row r="21" spans="1:14" ht="12.75" customHeight="1" x14ac:dyDescent="0.2">
      <c r="A21" s="53" t="s">
        <v>32</v>
      </c>
      <c r="B21" s="54">
        <f t="shared" si="1"/>
        <v>1040</v>
      </c>
      <c r="C21" s="54">
        <f t="shared" si="2"/>
        <v>826</v>
      </c>
      <c r="D21" s="54">
        <v>198</v>
      </c>
      <c r="E21" s="54">
        <v>194</v>
      </c>
      <c r="F21" s="54">
        <v>219</v>
      </c>
      <c r="G21" s="21">
        <v>215</v>
      </c>
      <c r="H21" s="54">
        <f t="shared" si="3"/>
        <v>214</v>
      </c>
      <c r="I21" s="54">
        <v>40</v>
      </c>
      <c r="J21" s="54">
        <v>38</v>
      </c>
      <c r="K21" s="54">
        <v>39</v>
      </c>
      <c r="L21" s="54">
        <v>42</v>
      </c>
      <c r="M21" s="54">
        <v>55</v>
      </c>
      <c r="N21" s="54"/>
    </row>
    <row r="22" spans="1:14" ht="12.75" customHeight="1" x14ac:dyDescent="0.2">
      <c r="A22" s="53" t="s">
        <v>33</v>
      </c>
      <c r="B22" s="54">
        <f t="shared" si="1"/>
        <v>355</v>
      </c>
      <c r="C22" s="54">
        <f t="shared" si="2"/>
        <v>355</v>
      </c>
      <c r="D22" s="54">
        <v>80</v>
      </c>
      <c r="E22" s="54">
        <v>83</v>
      </c>
      <c r="F22" s="54">
        <v>102</v>
      </c>
      <c r="G22" s="21">
        <v>90</v>
      </c>
      <c r="H22" s="54">
        <f t="shared" si="3"/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/>
    </row>
    <row r="23" spans="1:14" ht="12.75" customHeight="1" x14ac:dyDescent="0.2">
      <c r="A23" s="53" t="s">
        <v>34</v>
      </c>
      <c r="B23" s="54">
        <f t="shared" si="1"/>
        <v>779</v>
      </c>
      <c r="C23" s="54">
        <f t="shared" si="2"/>
        <v>779</v>
      </c>
      <c r="D23" s="54">
        <v>197</v>
      </c>
      <c r="E23" s="54">
        <v>199</v>
      </c>
      <c r="F23" s="54">
        <v>204</v>
      </c>
      <c r="G23" s="21">
        <v>179</v>
      </c>
      <c r="H23" s="54">
        <f t="shared" si="3"/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</row>
    <row r="24" spans="1:14" ht="12.75" customHeight="1" x14ac:dyDescent="0.2">
      <c r="A24" s="53" t="s">
        <v>35</v>
      </c>
      <c r="B24" s="54">
        <f t="shared" si="1"/>
        <v>881</v>
      </c>
      <c r="C24" s="54">
        <f t="shared" si="2"/>
        <v>786</v>
      </c>
      <c r="D24" s="54">
        <v>204</v>
      </c>
      <c r="E24" s="54">
        <v>196</v>
      </c>
      <c r="F24" s="54">
        <v>196</v>
      </c>
      <c r="G24" s="21">
        <v>190</v>
      </c>
      <c r="H24" s="54">
        <f t="shared" si="3"/>
        <v>95</v>
      </c>
      <c r="I24" s="54">
        <v>0</v>
      </c>
      <c r="J24" s="54">
        <v>0</v>
      </c>
      <c r="K24" s="54">
        <v>0</v>
      </c>
      <c r="L24" s="54">
        <v>0</v>
      </c>
      <c r="M24" s="54">
        <v>95</v>
      </c>
    </row>
    <row r="25" spans="1:14" ht="12.75" customHeight="1" x14ac:dyDescent="0.2">
      <c r="A25" s="53" t="s">
        <v>36</v>
      </c>
      <c r="B25" s="54">
        <f t="shared" si="1"/>
        <v>180</v>
      </c>
      <c r="C25" s="54">
        <f t="shared" si="2"/>
        <v>180</v>
      </c>
      <c r="D25" s="54">
        <v>45</v>
      </c>
      <c r="E25" s="54">
        <v>44</v>
      </c>
      <c r="F25" s="54">
        <v>50</v>
      </c>
      <c r="G25" s="21">
        <v>41</v>
      </c>
      <c r="H25" s="54">
        <f t="shared" si="3"/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</row>
    <row r="26" spans="1:14" ht="12.75" customHeight="1" x14ac:dyDescent="0.2">
      <c r="A26" s="53" t="s">
        <v>37</v>
      </c>
      <c r="B26" s="54">
        <f t="shared" si="1"/>
        <v>311</v>
      </c>
      <c r="C26" s="54">
        <f t="shared" si="2"/>
        <v>311</v>
      </c>
      <c r="D26" s="54">
        <v>77</v>
      </c>
      <c r="E26" s="54">
        <v>72</v>
      </c>
      <c r="F26" s="54">
        <v>83</v>
      </c>
      <c r="G26" s="21">
        <v>79</v>
      </c>
      <c r="H26" s="54">
        <f t="shared" si="3"/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</row>
    <row r="27" spans="1:14" ht="12.75" customHeight="1" x14ac:dyDescent="0.2">
      <c r="A27" s="53" t="s">
        <v>38</v>
      </c>
      <c r="B27" s="54">
        <f t="shared" si="1"/>
        <v>340</v>
      </c>
      <c r="C27" s="54">
        <f t="shared" si="2"/>
        <v>324</v>
      </c>
      <c r="D27" s="54">
        <v>87</v>
      </c>
      <c r="E27" s="54">
        <v>63</v>
      </c>
      <c r="F27" s="54">
        <v>87</v>
      </c>
      <c r="G27" s="21">
        <v>87</v>
      </c>
      <c r="H27" s="54">
        <f t="shared" si="3"/>
        <v>16</v>
      </c>
      <c r="I27" s="54">
        <v>0</v>
      </c>
      <c r="J27" s="54">
        <v>0</v>
      </c>
      <c r="K27" s="54">
        <v>0</v>
      </c>
      <c r="L27" s="54">
        <v>0</v>
      </c>
      <c r="M27" s="54">
        <v>16</v>
      </c>
    </row>
    <row r="28" spans="1:14" ht="12.75" customHeight="1" x14ac:dyDescent="0.2">
      <c r="A28" s="53" t="s">
        <v>39</v>
      </c>
      <c r="B28" s="54">
        <f t="shared" si="1"/>
        <v>933</v>
      </c>
      <c r="C28" s="54">
        <f t="shared" si="2"/>
        <v>933</v>
      </c>
      <c r="D28" s="54">
        <v>218</v>
      </c>
      <c r="E28" s="54">
        <v>233</v>
      </c>
      <c r="F28" s="54">
        <v>238</v>
      </c>
      <c r="G28" s="21">
        <v>244</v>
      </c>
      <c r="H28" s="54">
        <f t="shared" si="3"/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</row>
    <row r="29" spans="1:14" ht="12.75" customHeight="1" x14ac:dyDescent="0.2">
      <c r="A29" s="53" t="s">
        <v>40</v>
      </c>
      <c r="B29" s="54">
        <f t="shared" si="1"/>
        <v>372</v>
      </c>
      <c r="C29" s="54">
        <f t="shared" si="2"/>
        <v>372</v>
      </c>
      <c r="D29" s="54">
        <v>96</v>
      </c>
      <c r="E29" s="54">
        <v>100</v>
      </c>
      <c r="F29" s="54">
        <v>89</v>
      </c>
      <c r="G29" s="21">
        <v>87</v>
      </c>
      <c r="H29" s="54">
        <f t="shared" si="3"/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</row>
    <row r="30" spans="1:14" ht="12.75" customHeight="1" x14ac:dyDescent="0.2">
      <c r="A30" s="53" t="s">
        <v>41</v>
      </c>
      <c r="B30" s="54">
        <f t="shared" si="1"/>
        <v>530</v>
      </c>
      <c r="C30" s="54">
        <f t="shared" si="2"/>
        <v>530</v>
      </c>
      <c r="D30" s="54">
        <v>121</v>
      </c>
      <c r="E30" s="54">
        <v>135</v>
      </c>
      <c r="F30" s="54">
        <v>138</v>
      </c>
      <c r="G30" s="21">
        <v>136</v>
      </c>
      <c r="H30" s="54">
        <f t="shared" si="3"/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</row>
    <row r="31" spans="1:14" ht="12.75" customHeight="1" x14ac:dyDescent="0.2">
      <c r="A31" s="53" t="s">
        <v>42</v>
      </c>
      <c r="B31" s="54">
        <f t="shared" si="1"/>
        <v>1450</v>
      </c>
      <c r="C31" s="54">
        <f t="shared" si="2"/>
        <v>1247</v>
      </c>
      <c r="D31" s="54">
        <v>287</v>
      </c>
      <c r="E31" s="54">
        <v>318</v>
      </c>
      <c r="F31" s="54">
        <v>339</v>
      </c>
      <c r="G31" s="21">
        <v>303</v>
      </c>
      <c r="H31" s="54">
        <f t="shared" si="3"/>
        <v>203</v>
      </c>
      <c r="I31" s="54">
        <v>25</v>
      </c>
      <c r="J31" s="54">
        <v>27</v>
      </c>
      <c r="K31" s="54">
        <v>41</v>
      </c>
      <c r="L31" s="54">
        <v>49</v>
      </c>
      <c r="M31" s="54">
        <v>61</v>
      </c>
      <c r="N31" s="54"/>
    </row>
    <row r="32" spans="1:14" ht="12.75" customHeight="1" x14ac:dyDescent="0.2">
      <c r="A32" s="53" t="s">
        <v>43</v>
      </c>
      <c r="B32" s="54">
        <f t="shared" si="1"/>
        <v>435</v>
      </c>
      <c r="C32" s="54">
        <f t="shared" si="2"/>
        <v>266</v>
      </c>
      <c r="D32" s="54">
        <v>49</v>
      </c>
      <c r="E32" s="54">
        <v>67</v>
      </c>
      <c r="F32" s="54">
        <v>74</v>
      </c>
      <c r="G32" s="21">
        <v>76</v>
      </c>
      <c r="H32" s="54">
        <f t="shared" si="3"/>
        <v>169</v>
      </c>
      <c r="I32" s="54">
        <v>38</v>
      </c>
      <c r="J32" s="54">
        <v>23</v>
      </c>
      <c r="K32" s="54">
        <v>24</v>
      </c>
      <c r="L32" s="54">
        <v>36</v>
      </c>
      <c r="M32" s="54">
        <v>48</v>
      </c>
    </row>
    <row r="33" spans="1:13" ht="12.75" customHeight="1" x14ac:dyDescent="0.2">
      <c r="A33" s="53" t="s">
        <v>44</v>
      </c>
      <c r="B33" s="54">
        <f t="shared" si="1"/>
        <v>1306</v>
      </c>
      <c r="C33" s="54">
        <f t="shared" si="2"/>
        <v>1240</v>
      </c>
      <c r="D33" s="54">
        <v>320</v>
      </c>
      <c r="E33" s="54">
        <v>296</v>
      </c>
      <c r="F33" s="54">
        <v>302</v>
      </c>
      <c r="G33" s="21">
        <v>322</v>
      </c>
      <c r="H33" s="54">
        <f t="shared" si="3"/>
        <v>66</v>
      </c>
      <c r="I33" s="54">
        <v>0</v>
      </c>
      <c r="J33" s="54">
        <v>0</v>
      </c>
      <c r="K33" s="54">
        <v>0</v>
      </c>
      <c r="L33" s="54">
        <v>21</v>
      </c>
      <c r="M33" s="54">
        <v>45</v>
      </c>
    </row>
    <row r="34" spans="1:13" ht="12.75" customHeight="1" x14ac:dyDescent="0.2">
      <c r="A34" s="53" t="s">
        <v>45</v>
      </c>
      <c r="B34" s="54">
        <f t="shared" si="1"/>
        <v>1739</v>
      </c>
      <c r="C34" s="54">
        <f t="shared" si="2"/>
        <v>1424</v>
      </c>
      <c r="D34" s="54">
        <v>362</v>
      </c>
      <c r="E34" s="54">
        <v>370</v>
      </c>
      <c r="F34" s="54">
        <v>366</v>
      </c>
      <c r="G34" s="21">
        <v>326</v>
      </c>
      <c r="H34" s="54">
        <f t="shared" si="3"/>
        <v>315</v>
      </c>
      <c r="I34" s="54">
        <v>45</v>
      </c>
      <c r="J34" s="54">
        <v>39</v>
      </c>
      <c r="K34" s="54">
        <v>51</v>
      </c>
      <c r="L34" s="54">
        <v>58</v>
      </c>
      <c r="M34" s="54">
        <v>122</v>
      </c>
    </row>
    <row r="35" spans="1:13" s="58" customFormat="1" ht="17.100000000000001" customHeight="1" x14ac:dyDescent="0.2">
      <c r="A35" s="73" t="s">
        <v>46</v>
      </c>
      <c r="B35" s="74">
        <f>SUM(B17:B34)</f>
        <v>14408</v>
      </c>
      <c r="C35" s="74">
        <f t="shared" ref="C35:L35" si="4">SUM(C17:C34)</f>
        <v>13183</v>
      </c>
      <c r="D35" s="74">
        <f t="shared" si="4"/>
        <v>3217</v>
      </c>
      <c r="E35" s="74">
        <f t="shared" si="4"/>
        <v>3290</v>
      </c>
      <c r="F35" s="74">
        <f t="shared" si="4"/>
        <v>3407</v>
      </c>
      <c r="G35" s="74">
        <f t="shared" si="4"/>
        <v>3269</v>
      </c>
      <c r="H35" s="74">
        <f t="shared" si="4"/>
        <v>1225</v>
      </c>
      <c r="I35" s="74">
        <f t="shared" si="4"/>
        <v>148</v>
      </c>
      <c r="J35" s="74">
        <f t="shared" si="4"/>
        <v>127</v>
      </c>
      <c r="K35" s="74">
        <f t="shared" si="4"/>
        <v>155</v>
      </c>
      <c r="L35" s="74">
        <f t="shared" si="4"/>
        <v>247</v>
      </c>
      <c r="M35" s="74">
        <f>SUM(M17:M34)</f>
        <v>548</v>
      </c>
    </row>
    <row r="36" spans="1:13" ht="17.100000000000001" customHeight="1" x14ac:dyDescent="0.2">
      <c r="A36" s="55" t="s">
        <v>47</v>
      </c>
      <c r="B36" s="56">
        <f t="shared" ref="B36:M36" si="5">+B16+B35</f>
        <v>19590</v>
      </c>
      <c r="C36" s="56">
        <f t="shared" si="5"/>
        <v>17639</v>
      </c>
      <c r="D36" s="56">
        <f t="shared" si="5"/>
        <v>4350</v>
      </c>
      <c r="E36" s="56">
        <f t="shared" si="5"/>
        <v>4383</v>
      </c>
      <c r="F36" s="56">
        <f t="shared" si="5"/>
        <v>4510</v>
      </c>
      <c r="G36" s="56">
        <f t="shared" si="5"/>
        <v>4396</v>
      </c>
      <c r="H36" s="56">
        <f t="shared" si="5"/>
        <v>1951</v>
      </c>
      <c r="I36" s="56">
        <f t="shared" si="5"/>
        <v>235</v>
      </c>
      <c r="J36" s="56">
        <f t="shared" si="5"/>
        <v>212</v>
      </c>
      <c r="K36" s="56">
        <f t="shared" si="5"/>
        <v>249</v>
      </c>
      <c r="L36" s="56">
        <f t="shared" si="5"/>
        <v>365</v>
      </c>
      <c r="M36" s="56">
        <f t="shared" si="5"/>
        <v>890</v>
      </c>
    </row>
    <row r="37" spans="1:13" s="66" customFormat="1" ht="12.75" customHeight="1" x14ac:dyDescent="0.25">
      <c r="A37" s="64" t="s">
        <v>75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3" ht="12.75" customHeight="1" x14ac:dyDescent="0.2">
      <c r="A38" s="59" t="s">
        <v>96</v>
      </c>
      <c r="B38" s="58"/>
      <c r="C38" s="58"/>
      <c r="D38" s="58"/>
    </row>
    <row r="39" spans="1:13" ht="6" customHeight="1" x14ac:dyDescent="0.2">
      <c r="A39" s="58"/>
      <c r="B39" s="58"/>
      <c r="C39" s="58"/>
      <c r="D39" s="58"/>
    </row>
    <row r="40" spans="1:13" ht="12.75" customHeight="1" x14ac:dyDescent="0.2">
      <c r="A40" s="60" t="s">
        <v>78</v>
      </c>
      <c r="B40" s="58"/>
      <c r="C40" s="58"/>
      <c r="D40" s="58"/>
    </row>
    <row r="62" spans="1:1" ht="10.199999999999999" x14ac:dyDescent="0.2">
      <c r="A62" s="45"/>
    </row>
    <row r="63" spans="1:1" ht="10.199999999999999" x14ac:dyDescent="0.2"/>
  </sheetData>
  <mergeCells count="6">
    <mergeCell ref="I6:M8"/>
    <mergeCell ref="A5:A9"/>
    <mergeCell ref="B5:B9"/>
    <mergeCell ref="C6:C9"/>
    <mergeCell ref="D6:G8"/>
    <mergeCell ref="H6:H9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Normal="100" workbookViewId="0">
      <selection activeCell="A4" sqref="A4"/>
    </sheetView>
  </sheetViews>
  <sheetFormatPr baseColWidth="10" defaultColWidth="8.42578125" defaultRowHeight="12.75" customHeight="1" x14ac:dyDescent="0.2"/>
  <cols>
    <col min="1" max="1" width="21.7109375" style="20" customWidth="1"/>
    <col min="2" max="2" width="9.140625" style="20" customWidth="1"/>
    <col min="3" max="3" width="8" style="20" customWidth="1"/>
    <col min="4" max="7" width="7.7109375" style="20" customWidth="1"/>
    <col min="8" max="8" width="9.140625" style="20" customWidth="1"/>
    <col min="9" max="13" width="7.7109375" style="20" customWidth="1"/>
    <col min="14" max="14" width="6.7109375" style="20" customWidth="1"/>
    <col min="15" max="15" width="7.7109375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26.7" customHeight="1" x14ac:dyDescent="0.25">
      <c r="A3" s="68" t="s">
        <v>97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14.7" customHeight="1" thickBot="1" x14ac:dyDescent="0.25">
      <c r="A5" s="80" t="s">
        <v>8</v>
      </c>
      <c r="B5" s="81" t="s">
        <v>90</v>
      </c>
      <c r="C5" s="47" t="s">
        <v>4</v>
      </c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4" ht="14.7" customHeight="1" thickBot="1" x14ac:dyDescent="0.25">
      <c r="A6" s="77"/>
      <c r="B6" s="77"/>
      <c r="C6" s="82" t="s">
        <v>85</v>
      </c>
      <c r="D6" s="77" t="s">
        <v>77</v>
      </c>
      <c r="E6" s="78"/>
      <c r="F6" s="78"/>
      <c r="G6" s="78"/>
      <c r="H6" s="82" t="s">
        <v>89</v>
      </c>
      <c r="I6" s="77" t="s">
        <v>77</v>
      </c>
      <c r="J6" s="78"/>
      <c r="K6" s="78"/>
      <c r="L6" s="78"/>
      <c r="M6" s="79"/>
    </row>
    <row r="7" spans="1:14" ht="14.7" customHeight="1" thickBot="1" x14ac:dyDescent="0.25">
      <c r="A7" s="77"/>
      <c r="B7" s="77"/>
      <c r="C7" s="77"/>
      <c r="D7" s="78"/>
      <c r="E7" s="78"/>
      <c r="F7" s="78"/>
      <c r="G7" s="78"/>
      <c r="H7" s="77"/>
      <c r="I7" s="78"/>
      <c r="J7" s="78"/>
      <c r="K7" s="78"/>
      <c r="L7" s="78"/>
      <c r="M7" s="79"/>
    </row>
    <row r="8" spans="1:14" ht="14.7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4.7" customHeight="1" thickBot="1" x14ac:dyDescent="0.25">
      <c r="A9" s="77"/>
      <c r="B9" s="77"/>
      <c r="C9" s="77"/>
      <c r="D9" s="61">
        <v>1</v>
      </c>
      <c r="E9" s="61">
        <v>2</v>
      </c>
      <c r="F9" s="61">
        <v>3</v>
      </c>
      <c r="G9" s="62">
        <v>4</v>
      </c>
      <c r="H9" s="77"/>
      <c r="I9" s="61">
        <v>5</v>
      </c>
      <c r="J9" s="61">
        <v>6</v>
      </c>
      <c r="K9" s="61">
        <v>7</v>
      </c>
      <c r="L9" s="61">
        <v>8</v>
      </c>
      <c r="M9" s="51" t="s">
        <v>21</v>
      </c>
    </row>
    <row r="10" spans="1:14" ht="12.75" customHeight="1" x14ac:dyDescent="0.2">
      <c r="A10" s="5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 t="s">
        <v>76</v>
      </c>
    </row>
    <row r="11" spans="1:14" ht="12.75" customHeight="1" x14ac:dyDescent="0.2">
      <c r="A11" s="53" t="s">
        <v>22</v>
      </c>
      <c r="B11" s="54">
        <f>C11+H11</f>
        <v>194</v>
      </c>
      <c r="C11" s="54">
        <f>SUM(D11:G11)</f>
        <v>194</v>
      </c>
      <c r="D11" s="54">
        <v>60</v>
      </c>
      <c r="E11" s="54">
        <v>45</v>
      </c>
      <c r="F11" s="54">
        <v>46</v>
      </c>
      <c r="G11" s="21">
        <v>43</v>
      </c>
      <c r="H11" s="54">
        <f>I11+J11+K11+L11+M11</f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</row>
    <row r="12" spans="1:14" ht="12.75" customHeight="1" x14ac:dyDescent="0.2">
      <c r="A12" s="53" t="s">
        <v>23</v>
      </c>
      <c r="B12" s="54">
        <f>C12+H12</f>
        <v>1269</v>
      </c>
      <c r="C12" s="54">
        <f>SUM(D12:G12)</f>
        <v>1028</v>
      </c>
      <c r="D12" s="54">
        <v>232</v>
      </c>
      <c r="E12" s="54">
        <v>248</v>
      </c>
      <c r="F12" s="54">
        <v>283</v>
      </c>
      <c r="G12" s="21">
        <v>265</v>
      </c>
      <c r="H12" s="54">
        <f>I12+J12+K12+L12+M12</f>
        <v>241</v>
      </c>
      <c r="I12" s="54">
        <v>25</v>
      </c>
      <c r="J12" s="54">
        <v>26</v>
      </c>
      <c r="K12" s="54">
        <v>38</v>
      </c>
      <c r="L12" s="54">
        <v>62</v>
      </c>
      <c r="M12" s="54">
        <v>90</v>
      </c>
    </row>
    <row r="13" spans="1:14" ht="12.75" customHeight="1" x14ac:dyDescent="0.2">
      <c r="A13" s="53" t="s">
        <v>24</v>
      </c>
      <c r="B13" s="54">
        <f>C13+H13</f>
        <v>1656</v>
      </c>
      <c r="C13" s="54">
        <f>SUM(D13:G13)</f>
        <v>1247</v>
      </c>
      <c r="D13" s="21">
        <v>296</v>
      </c>
      <c r="E13" s="21">
        <v>343</v>
      </c>
      <c r="F13" s="21">
        <v>316</v>
      </c>
      <c r="G13" s="21">
        <v>292</v>
      </c>
      <c r="H13" s="54">
        <f>I13+J13+K13+L13+M13</f>
        <v>409</v>
      </c>
      <c r="I13" s="21">
        <v>51</v>
      </c>
      <c r="J13" s="21">
        <v>50</v>
      </c>
      <c r="K13" s="21">
        <v>79</v>
      </c>
      <c r="L13" s="21">
        <v>83</v>
      </c>
      <c r="M13" s="21">
        <v>146</v>
      </c>
      <c r="N13" s="54"/>
    </row>
    <row r="14" spans="1:14" ht="12.75" customHeight="1" x14ac:dyDescent="0.2">
      <c r="A14" s="53" t="s">
        <v>25</v>
      </c>
      <c r="B14" s="54">
        <f>C14+H14</f>
        <v>1154</v>
      </c>
      <c r="C14" s="54">
        <f>SUM(D14:G14)</f>
        <v>1046</v>
      </c>
      <c r="D14" s="21">
        <v>260</v>
      </c>
      <c r="E14" s="21">
        <v>273</v>
      </c>
      <c r="F14" s="21">
        <v>275</v>
      </c>
      <c r="G14" s="21">
        <v>238</v>
      </c>
      <c r="H14" s="54">
        <f>I14+J14+K14+L14+M14</f>
        <v>108</v>
      </c>
      <c r="I14" s="21">
        <v>0</v>
      </c>
      <c r="J14" s="21">
        <v>0</v>
      </c>
      <c r="K14" s="21">
        <v>0</v>
      </c>
      <c r="L14" s="21">
        <v>39</v>
      </c>
      <c r="M14" s="21">
        <v>69</v>
      </c>
    </row>
    <row r="15" spans="1:14" ht="12.75" customHeight="1" x14ac:dyDescent="0.2">
      <c r="A15" s="53" t="s">
        <v>26</v>
      </c>
      <c r="B15" s="54">
        <f>C15+H15</f>
        <v>956</v>
      </c>
      <c r="C15" s="54">
        <f>SUM(D15:G15)</f>
        <v>892</v>
      </c>
      <c r="D15" s="21">
        <v>249</v>
      </c>
      <c r="E15" s="21">
        <v>222</v>
      </c>
      <c r="F15" s="21">
        <v>213</v>
      </c>
      <c r="G15" s="21">
        <v>208</v>
      </c>
      <c r="H15" s="54">
        <f>I15+J15+K15+L15+M15</f>
        <v>64</v>
      </c>
      <c r="I15" s="21">
        <v>0</v>
      </c>
      <c r="J15" s="21">
        <v>0</v>
      </c>
      <c r="K15" s="21">
        <v>0</v>
      </c>
      <c r="L15" s="21">
        <v>25</v>
      </c>
      <c r="M15" s="21">
        <v>39</v>
      </c>
    </row>
    <row r="16" spans="1:14" s="58" customFormat="1" ht="17.100000000000001" customHeight="1" x14ac:dyDescent="0.2">
      <c r="A16" s="73" t="s">
        <v>27</v>
      </c>
      <c r="B16" s="74">
        <f t="shared" ref="B16:M16" si="0">SUM(B11:B15)</f>
        <v>5229</v>
      </c>
      <c r="C16" s="74">
        <f t="shared" si="0"/>
        <v>4407</v>
      </c>
      <c r="D16" s="74">
        <f t="shared" si="0"/>
        <v>1097</v>
      </c>
      <c r="E16" s="74">
        <f t="shared" si="0"/>
        <v>1131</v>
      </c>
      <c r="F16" s="74">
        <f t="shared" si="0"/>
        <v>1133</v>
      </c>
      <c r="G16" s="74">
        <f t="shared" si="0"/>
        <v>1046</v>
      </c>
      <c r="H16" s="74">
        <f t="shared" si="0"/>
        <v>822</v>
      </c>
      <c r="I16" s="74">
        <f t="shared" si="0"/>
        <v>76</v>
      </c>
      <c r="J16" s="74">
        <f t="shared" si="0"/>
        <v>76</v>
      </c>
      <c r="K16" s="74">
        <f t="shared" si="0"/>
        <v>117</v>
      </c>
      <c r="L16" s="74">
        <f t="shared" si="0"/>
        <v>209</v>
      </c>
      <c r="M16" s="74">
        <f t="shared" si="0"/>
        <v>344</v>
      </c>
    </row>
    <row r="17" spans="1:14" ht="12.75" customHeight="1" x14ac:dyDescent="0.2">
      <c r="A17" s="53" t="s">
        <v>28</v>
      </c>
      <c r="B17" s="54">
        <f t="shared" ref="B17:B34" si="1">C17+H17</f>
        <v>2611</v>
      </c>
      <c r="C17" s="54">
        <f t="shared" ref="C17:C34" si="2">SUM(D17:G17)</f>
        <v>2380</v>
      </c>
      <c r="D17" s="54">
        <v>604</v>
      </c>
      <c r="E17" s="54">
        <v>609</v>
      </c>
      <c r="F17" s="54">
        <v>594</v>
      </c>
      <c r="G17" s="21">
        <v>573</v>
      </c>
      <c r="H17" s="54">
        <f>SUM(I17:M17)</f>
        <v>231</v>
      </c>
      <c r="I17" s="54">
        <v>0</v>
      </c>
      <c r="J17" s="54">
        <v>0</v>
      </c>
      <c r="K17" s="54">
        <v>35</v>
      </c>
      <c r="L17" s="54">
        <v>44</v>
      </c>
      <c r="M17" s="54">
        <v>152</v>
      </c>
    </row>
    <row r="18" spans="1:14" ht="12.75" customHeight="1" x14ac:dyDescent="0.2">
      <c r="A18" s="53" t="s">
        <v>29</v>
      </c>
      <c r="B18" s="54">
        <f t="shared" si="1"/>
        <v>283</v>
      </c>
      <c r="C18" s="54">
        <f t="shared" si="2"/>
        <v>283</v>
      </c>
      <c r="D18" s="54">
        <v>77</v>
      </c>
      <c r="E18" s="54">
        <v>66</v>
      </c>
      <c r="F18" s="54">
        <v>73</v>
      </c>
      <c r="G18" s="21">
        <v>67</v>
      </c>
      <c r="H18" s="54">
        <f>SUM(I18:M18)</f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</row>
    <row r="19" spans="1:14" ht="12.75" customHeight="1" x14ac:dyDescent="0.2">
      <c r="A19" s="53" t="s">
        <v>30</v>
      </c>
      <c r="B19" s="54">
        <f t="shared" si="1"/>
        <v>415</v>
      </c>
      <c r="C19" s="54">
        <f t="shared" si="2"/>
        <v>415</v>
      </c>
      <c r="D19" s="54">
        <v>101</v>
      </c>
      <c r="E19" s="54">
        <v>120</v>
      </c>
      <c r="F19" s="54">
        <v>99</v>
      </c>
      <c r="G19" s="21">
        <v>95</v>
      </c>
      <c r="H19" s="54">
        <f>SUM(I19:M19)</f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</row>
    <row r="20" spans="1:14" ht="12.75" customHeight="1" x14ac:dyDescent="0.2">
      <c r="A20" s="53" t="s">
        <v>31</v>
      </c>
      <c r="B20" s="54">
        <f t="shared" si="1"/>
        <v>583</v>
      </c>
      <c r="C20" s="54">
        <f t="shared" si="2"/>
        <v>583</v>
      </c>
      <c r="D20" s="54">
        <v>150</v>
      </c>
      <c r="E20" s="54">
        <v>144</v>
      </c>
      <c r="F20" s="54">
        <v>138</v>
      </c>
      <c r="G20" s="21">
        <v>151</v>
      </c>
      <c r="H20" s="54">
        <f t="shared" ref="H20:H34" si="3">SUM(I20:M20)</f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</row>
    <row r="21" spans="1:14" ht="12.75" customHeight="1" x14ac:dyDescent="0.2">
      <c r="A21" s="53" t="s">
        <v>32</v>
      </c>
      <c r="B21" s="54">
        <f t="shared" si="1"/>
        <v>1069</v>
      </c>
      <c r="C21" s="54">
        <f t="shared" si="2"/>
        <v>851</v>
      </c>
      <c r="D21" s="54">
        <v>196</v>
      </c>
      <c r="E21" s="54">
        <v>212</v>
      </c>
      <c r="F21" s="54">
        <v>234</v>
      </c>
      <c r="G21" s="21">
        <v>209</v>
      </c>
      <c r="H21" s="54">
        <f t="shared" si="3"/>
        <v>218</v>
      </c>
      <c r="I21" s="54">
        <v>35</v>
      </c>
      <c r="J21" s="54">
        <v>39</v>
      </c>
      <c r="K21" s="54">
        <v>40</v>
      </c>
      <c r="L21" s="54">
        <v>35</v>
      </c>
      <c r="M21" s="54">
        <v>69</v>
      </c>
      <c r="N21" s="54"/>
    </row>
    <row r="22" spans="1:14" ht="12.75" customHeight="1" x14ac:dyDescent="0.2">
      <c r="A22" s="53" t="s">
        <v>33</v>
      </c>
      <c r="B22" s="54">
        <f t="shared" si="1"/>
        <v>355</v>
      </c>
      <c r="C22" s="54">
        <f t="shared" si="2"/>
        <v>355</v>
      </c>
      <c r="D22" s="54">
        <v>86</v>
      </c>
      <c r="E22" s="54">
        <v>97</v>
      </c>
      <c r="F22" s="54">
        <v>91</v>
      </c>
      <c r="G22" s="21">
        <v>81</v>
      </c>
      <c r="H22" s="54">
        <f t="shared" si="3"/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/>
    </row>
    <row r="23" spans="1:14" ht="12.75" customHeight="1" x14ac:dyDescent="0.2">
      <c r="A23" s="53" t="s">
        <v>34</v>
      </c>
      <c r="B23" s="54">
        <f t="shared" si="1"/>
        <v>737</v>
      </c>
      <c r="C23" s="54">
        <f t="shared" si="2"/>
        <v>737</v>
      </c>
      <c r="D23" s="54">
        <v>188</v>
      </c>
      <c r="E23" s="54">
        <v>193</v>
      </c>
      <c r="F23" s="54">
        <v>175</v>
      </c>
      <c r="G23" s="21">
        <v>181</v>
      </c>
      <c r="H23" s="54">
        <f t="shared" si="3"/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</row>
    <row r="24" spans="1:14" ht="12.75" customHeight="1" x14ac:dyDescent="0.2">
      <c r="A24" s="53" t="s">
        <v>35</v>
      </c>
      <c r="B24" s="54">
        <f t="shared" si="1"/>
        <v>977</v>
      </c>
      <c r="C24" s="54">
        <f t="shared" si="2"/>
        <v>821</v>
      </c>
      <c r="D24" s="54">
        <v>206</v>
      </c>
      <c r="E24" s="54">
        <v>217</v>
      </c>
      <c r="F24" s="54">
        <v>191</v>
      </c>
      <c r="G24" s="21">
        <v>207</v>
      </c>
      <c r="H24" s="54">
        <f t="shared" si="3"/>
        <v>156</v>
      </c>
      <c r="I24" s="54">
        <v>0</v>
      </c>
      <c r="J24" s="54">
        <v>0</v>
      </c>
      <c r="K24" s="54">
        <v>0</v>
      </c>
      <c r="L24" s="54">
        <v>42</v>
      </c>
      <c r="M24" s="54">
        <v>114</v>
      </c>
    </row>
    <row r="25" spans="1:14" ht="12.75" customHeight="1" x14ac:dyDescent="0.2">
      <c r="A25" s="53" t="s">
        <v>36</v>
      </c>
      <c r="B25" s="54">
        <f t="shared" si="1"/>
        <v>203</v>
      </c>
      <c r="C25" s="54">
        <f t="shared" si="2"/>
        <v>203</v>
      </c>
      <c r="D25" s="54">
        <v>46</v>
      </c>
      <c r="E25" s="54">
        <v>48</v>
      </c>
      <c r="F25" s="54">
        <v>45</v>
      </c>
      <c r="G25" s="21">
        <v>64</v>
      </c>
      <c r="H25" s="54">
        <f t="shared" si="3"/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</row>
    <row r="26" spans="1:14" ht="12.75" customHeight="1" x14ac:dyDescent="0.2">
      <c r="A26" s="53" t="s">
        <v>37</v>
      </c>
      <c r="B26" s="54">
        <f t="shared" si="1"/>
        <v>304</v>
      </c>
      <c r="C26" s="54">
        <f t="shared" si="2"/>
        <v>304</v>
      </c>
      <c r="D26" s="54">
        <v>73</v>
      </c>
      <c r="E26" s="54">
        <v>75</v>
      </c>
      <c r="F26" s="54">
        <v>78</v>
      </c>
      <c r="G26" s="21">
        <v>78</v>
      </c>
      <c r="H26" s="54">
        <f t="shared" si="3"/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</row>
    <row r="27" spans="1:14" ht="12.75" customHeight="1" x14ac:dyDescent="0.2">
      <c r="A27" s="53" t="s">
        <v>38</v>
      </c>
      <c r="B27" s="54">
        <f t="shared" si="1"/>
        <v>343</v>
      </c>
      <c r="C27" s="54">
        <f t="shared" si="2"/>
        <v>306</v>
      </c>
      <c r="D27" s="54">
        <v>67</v>
      </c>
      <c r="E27" s="54">
        <v>85</v>
      </c>
      <c r="F27" s="54">
        <v>89</v>
      </c>
      <c r="G27" s="21">
        <v>65</v>
      </c>
      <c r="H27" s="54">
        <f t="shared" si="3"/>
        <v>37</v>
      </c>
      <c r="I27" s="54">
        <v>0</v>
      </c>
      <c r="J27" s="54">
        <v>0</v>
      </c>
      <c r="K27" s="54">
        <v>0</v>
      </c>
      <c r="L27" s="54">
        <v>0</v>
      </c>
      <c r="M27" s="54">
        <v>37</v>
      </c>
    </row>
    <row r="28" spans="1:14" ht="12.75" customHeight="1" x14ac:dyDescent="0.2">
      <c r="A28" s="53" t="s">
        <v>39</v>
      </c>
      <c r="B28" s="54">
        <f t="shared" si="1"/>
        <v>1012</v>
      </c>
      <c r="C28" s="54">
        <f t="shared" si="2"/>
        <v>992</v>
      </c>
      <c r="D28" s="54">
        <v>227</v>
      </c>
      <c r="E28" s="54">
        <v>237</v>
      </c>
      <c r="F28" s="54">
        <v>253</v>
      </c>
      <c r="G28" s="21">
        <v>275</v>
      </c>
      <c r="H28" s="54">
        <f t="shared" si="3"/>
        <v>20</v>
      </c>
      <c r="I28" s="54">
        <v>0</v>
      </c>
      <c r="J28" s="54">
        <v>0</v>
      </c>
      <c r="K28" s="54">
        <v>0</v>
      </c>
      <c r="L28" s="54">
        <v>0</v>
      </c>
      <c r="M28" s="54">
        <v>20</v>
      </c>
    </row>
    <row r="29" spans="1:14" ht="12.75" customHeight="1" x14ac:dyDescent="0.2">
      <c r="A29" s="53" t="s">
        <v>40</v>
      </c>
      <c r="B29" s="54">
        <f t="shared" si="1"/>
        <v>377</v>
      </c>
      <c r="C29" s="54">
        <f t="shared" si="2"/>
        <v>377</v>
      </c>
      <c r="D29" s="54">
        <v>99</v>
      </c>
      <c r="E29" s="54">
        <v>91</v>
      </c>
      <c r="F29" s="54">
        <v>92</v>
      </c>
      <c r="G29" s="21">
        <v>95</v>
      </c>
      <c r="H29" s="54">
        <f t="shared" si="3"/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</row>
    <row r="30" spans="1:14" ht="12.75" customHeight="1" x14ac:dyDescent="0.2">
      <c r="A30" s="53" t="s">
        <v>41</v>
      </c>
      <c r="B30" s="54">
        <f t="shared" si="1"/>
        <v>539</v>
      </c>
      <c r="C30" s="54">
        <f t="shared" si="2"/>
        <v>539</v>
      </c>
      <c r="D30" s="54">
        <v>138</v>
      </c>
      <c r="E30" s="54">
        <v>135</v>
      </c>
      <c r="F30" s="54">
        <v>134</v>
      </c>
      <c r="G30" s="21">
        <v>132</v>
      </c>
      <c r="H30" s="54">
        <f t="shared" si="3"/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</row>
    <row r="31" spans="1:14" ht="12.75" customHeight="1" x14ac:dyDescent="0.2">
      <c r="A31" s="53" t="s">
        <v>42</v>
      </c>
      <c r="B31" s="54">
        <f t="shared" si="1"/>
        <v>1548</v>
      </c>
      <c r="C31" s="54">
        <f t="shared" si="2"/>
        <v>1336</v>
      </c>
      <c r="D31" s="54">
        <v>328</v>
      </c>
      <c r="E31" s="54">
        <v>342</v>
      </c>
      <c r="F31" s="54">
        <v>316</v>
      </c>
      <c r="G31" s="21">
        <v>350</v>
      </c>
      <c r="H31" s="54">
        <f t="shared" si="3"/>
        <v>212</v>
      </c>
      <c r="I31" s="54">
        <v>23</v>
      </c>
      <c r="J31" s="54">
        <v>34</v>
      </c>
      <c r="K31" s="54">
        <v>51</v>
      </c>
      <c r="L31" s="54">
        <v>50</v>
      </c>
      <c r="M31" s="54">
        <v>54</v>
      </c>
      <c r="N31" s="54"/>
    </row>
    <row r="32" spans="1:14" ht="12.75" customHeight="1" x14ac:dyDescent="0.2">
      <c r="A32" s="53" t="s">
        <v>43</v>
      </c>
      <c r="B32" s="54">
        <f t="shared" si="1"/>
        <v>474</v>
      </c>
      <c r="C32" s="54">
        <f t="shared" si="2"/>
        <v>294</v>
      </c>
      <c r="D32" s="54">
        <v>72</v>
      </c>
      <c r="E32" s="54">
        <v>72</v>
      </c>
      <c r="F32" s="54">
        <v>82</v>
      </c>
      <c r="G32" s="21">
        <v>68</v>
      </c>
      <c r="H32" s="54">
        <f t="shared" si="3"/>
        <v>180</v>
      </c>
      <c r="I32" s="54">
        <v>24</v>
      </c>
      <c r="J32" s="54">
        <v>26</v>
      </c>
      <c r="K32" s="54">
        <v>34</v>
      </c>
      <c r="L32" s="54">
        <v>26</v>
      </c>
      <c r="M32" s="54">
        <v>70</v>
      </c>
    </row>
    <row r="33" spans="1:13" ht="12.75" customHeight="1" x14ac:dyDescent="0.2">
      <c r="A33" s="53" t="s">
        <v>44</v>
      </c>
      <c r="B33" s="54">
        <f t="shared" si="1"/>
        <v>1337</v>
      </c>
      <c r="C33" s="54">
        <f t="shared" si="2"/>
        <v>1222</v>
      </c>
      <c r="D33" s="54">
        <v>294</v>
      </c>
      <c r="E33" s="54">
        <v>286</v>
      </c>
      <c r="F33" s="54">
        <v>326</v>
      </c>
      <c r="G33" s="21">
        <v>316</v>
      </c>
      <c r="H33" s="54">
        <f t="shared" si="3"/>
        <v>115</v>
      </c>
      <c r="I33" s="54">
        <v>0</v>
      </c>
      <c r="J33" s="54">
        <v>0</v>
      </c>
      <c r="K33" s="54">
        <v>23</v>
      </c>
      <c r="L33" s="54">
        <v>42</v>
      </c>
      <c r="M33" s="54">
        <v>50</v>
      </c>
    </row>
    <row r="34" spans="1:13" ht="12.75" customHeight="1" x14ac:dyDescent="0.2">
      <c r="A34" s="53" t="s">
        <v>45</v>
      </c>
      <c r="B34" s="54">
        <f t="shared" si="1"/>
        <v>1703</v>
      </c>
      <c r="C34" s="54">
        <f t="shared" si="2"/>
        <v>1397</v>
      </c>
      <c r="D34" s="54">
        <v>365</v>
      </c>
      <c r="E34" s="54">
        <v>388</v>
      </c>
      <c r="F34" s="54">
        <v>320</v>
      </c>
      <c r="G34" s="21">
        <v>324</v>
      </c>
      <c r="H34" s="54">
        <f t="shared" si="3"/>
        <v>306</v>
      </c>
      <c r="I34" s="54">
        <v>35</v>
      </c>
      <c r="J34" s="54">
        <v>45</v>
      </c>
      <c r="K34" s="54">
        <v>55</v>
      </c>
      <c r="L34" s="54">
        <v>73</v>
      </c>
      <c r="M34" s="54">
        <v>98</v>
      </c>
    </row>
    <row r="35" spans="1:13" s="58" customFormat="1" ht="17.100000000000001" customHeight="1" x14ac:dyDescent="0.2">
      <c r="A35" s="73" t="s">
        <v>46</v>
      </c>
      <c r="B35" s="74">
        <f t="shared" ref="B35:M35" si="4">SUM(B17:B34)</f>
        <v>14870</v>
      </c>
      <c r="C35" s="74">
        <f t="shared" si="4"/>
        <v>13395</v>
      </c>
      <c r="D35" s="74">
        <f t="shared" si="4"/>
        <v>3317</v>
      </c>
      <c r="E35" s="74">
        <f t="shared" si="4"/>
        <v>3417</v>
      </c>
      <c r="F35" s="74">
        <f t="shared" si="4"/>
        <v>3330</v>
      </c>
      <c r="G35" s="74">
        <f t="shared" si="4"/>
        <v>3331</v>
      </c>
      <c r="H35" s="74">
        <f t="shared" si="4"/>
        <v>1475</v>
      </c>
      <c r="I35" s="74">
        <f t="shared" si="4"/>
        <v>117</v>
      </c>
      <c r="J35" s="74">
        <f t="shared" si="4"/>
        <v>144</v>
      </c>
      <c r="K35" s="74">
        <f t="shared" si="4"/>
        <v>238</v>
      </c>
      <c r="L35" s="74">
        <f t="shared" si="4"/>
        <v>312</v>
      </c>
      <c r="M35" s="74">
        <f t="shared" si="4"/>
        <v>664</v>
      </c>
    </row>
    <row r="36" spans="1:13" ht="17.100000000000001" customHeight="1" x14ac:dyDescent="0.2">
      <c r="A36" s="55" t="s">
        <v>47</v>
      </c>
      <c r="B36" s="56">
        <f t="shared" ref="B36:M36" si="5">+B16+B35</f>
        <v>20099</v>
      </c>
      <c r="C36" s="56">
        <f t="shared" si="5"/>
        <v>17802</v>
      </c>
      <c r="D36" s="56">
        <f t="shared" si="5"/>
        <v>4414</v>
      </c>
      <c r="E36" s="56">
        <f t="shared" si="5"/>
        <v>4548</v>
      </c>
      <c r="F36" s="56">
        <f t="shared" si="5"/>
        <v>4463</v>
      </c>
      <c r="G36" s="56">
        <f t="shared" si="5"/>
        <v>4377</v>
      </c>
      <c r="H36" s="56">
        <f t="shared" si="5"/>
        <v>2297</v>
      </c>
      <c r="I36" s="56">
        <f t="shared" si="5"/>
        <v>193</v>
      </c>
      <c r="J36" s="56">
        <f t="shared" si="5"/>
        <v>220</v>
      </c>
      <c r="K36" s="56">
        <f t="shared" si="5"/>
        <v>355</v>
      </c>
      <c r="L36" s="56">
        <f t="shared" si="5"/>
        <v>521</v>
      </c>
      <c r="M36" s="56">
        <f t="shared" si="5"/>
        <v>1008</v>
      </c>
    </row>
    <row r="37" spans="1:13" s="66" customFormat="1" ht="12.75" customHeight="1" x14ac:dyDescent="0.25">
      <c r="A37" s="64" t="s">
        <v>75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3" ht="12.75" customHeight="1" x14ac:dyDescent="0.2">
      <c r="A38" s="59" t="s">
        <v>96</v>
      </c>
      <c r="B38" s="58"/>
      <c r="C38" s="58"/>
      <c r="D38" s="58"/>
    </row>
    <row r="39" spans="1:13" ht="6" customHeight="1" x14ac:dyDescent="0.2">
      <c r="A39" s="58"/>
      <c r="B39" s="58"/>
      <c r="C39" s="58"/>
      <c r="D39" s="58"/>
    </row>
    <row r="40" spans="1:13" ht="12.75" customHeight="1" x14ac:dyDescent="0.2">
      <c r="A40" s="60" t="s">
        <v>78</v>
      </c>
      <c r="B40" s="58"/>
      <c r="C40" s="58"/>
      <c r="D40" s="58"/>
    </row>
    <row r="62" spans="1:1" ht="10.199999999999999" x14ac:dyDescent="0.2">
      <c r="A62" s="45"/>
    </row>
    <row r="63" spans="1:1" ht="10.199999999999999" x14ac:dyDescent="0.2"/>
  </sheetData>
  <mergeCells count="6">
    <mergeCell ref="I6:M8"/>
    <mergeCell ref="A5:A9"/>
    <mergeCell ref="B5:B9"/>
    <mergeCell ref="C6:C9"/>
    <mergeCell ref="D6:G8"/>
    <mergeCell ref="H6:H9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Normal="100" workbookViewId="0">
      <selection activeCell="A4" sqref="A4"/>
    </sheetView>
  </sheetViews>
  <sheetFormatPr baseColWidth="10" defaultColWidth="8.42578125" defaultRowHeight="12.75" customHeight="1" x14ac:dyDescent="0.2"/>
  <cols>
    <col min="1" max="1" width="21.7109375" style="20" customWidth="1"/>
    <col min="2" max="2" width="9.140625" style="20" customWidth="1"/>
    <col min="3" max="3" width="8" style="20" customWidth="1"/>
    <col min="4" max="7" width="7.7109375" style="20" customWidth="1"/>
    <col min="8" max="8" width="9.140625" style="20" customWidth="1"/>
    <col min="9" max="13" width="7.7109375" style="20" customWidth="1"/>
    <col min="14" max="14" width="6.7109375" style="20" customWidth="1"/>
    <col min="15" max="15" width="7.7109375" style="20" customWidth="1"/>
    <col min="16" max="16384" width="8.42578125" style="20"/>
  </cols>
  <sheetData>
    <row r="1" spans="1:14" ht="12.75" customHeight="1" x14ac:dyDescent="0.25">
      <c r="A1" s="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4" ht="26.7" customHeight="1" x14ac:dyDescent="0.25">
      <c r="A3" s="68" t="s">
        <v>98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14.7" customHeight="1" thickBot="1" x14ac:dyDescent="0.25">
      <c r="A5" s="80" t="s">
        <v>8</v>
      </c>
      <c r="B5" s="81" t="s">
        <v>90</v>
      </c>
      <c r="C5" s="47" t="s">
        <v>4</v>
      </c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4" ht="14.7" customHeight="1" thickBot="1" x14ac:dyDescent="0.25">
      <c r="A6" s="77"/>
      <c r="B6" s="77"/>
      <c r="C6" s="82" t="s">
        <v>85</v>
      </c>
      <c r="D6" s="77" t="s">
        <v>77</v>
      </c>
      <c r="E6" s="78"/>
      <c r="F6" s="78"/>
      <c r="G6" s="78"/>
      <c r="H6" s="82" t="s">
        <v>89</v>
      </c>
      <c r="I6" s="77" t="s">
        <v>77</v>
      </c>
      <c r="J6" s="78"/>
      <c r="K6" s="78"/>
      <c r="L6" s="78"/>
      <c r="M6" s="79"/>
    </row>
    <row r="7" spans="1:14" ht="14.7" customHeight="1" thickBot="1" x14ac:dyDescent="0.25">
      <c r="A7" s="77"/>
      <c r="B7" s="77"/>
      <c r="C7" s="77"/>
      <c r="D7" s="78"/>
      <c r="E7" s="78"/>
      <c r="F7" s="78"/>
      <c r="G7" s="78"/>
      <c r="H7" s="77"/>
      <c r="I7" s="78"/>
      <c r="J7" s="78"/>
      <c r="K7" s="78"/>
      <c r="L7" s="78"/>
      <c r="M7" s="79"/>
    </row>
    <row r="8" spans="1:14" ht="14.7" customHeight="1" thickBot="1" x14ac:dyDescent="0.25">
      <c r="A8" s="77"/>
      <c r="B8" s="77"/>
      <c r="C8" s="77"/>
      <c r="D8" s="78"/>
      <c r="E8" s="78"/>
      <c r="F8" s="78"/>
      <c r="G8" s="78"/>
      <c r="H8" s="77"/>
      <c r="I8" s="78"/>
      <c r="J8" s="78"/>
      <c r="K8" s="78"/>
      <c r="L8" s="78"/>
      <c r="M8" s="79"/>
    </row>
    <row r="9" spans="1:14" ht="14.7" customHeight="1" thickBot="1" x14ac:dyDescent="0.25">
      <c r="A9" s="77"/>
      <c r="B9" s="77"/>
      <c r="C9" s="77"/>
      <c r="D9" s="61">
        <v>1</v>
      </c>
      <c r="E9" s="61">
        <v>2</v>
      </c>
      <c r="F9" s="61">
        <v>3</v>
      </c>
      <c r="G9" s="62">
        <v>4</v>
      </c>
      <c r="H9" s="77"/>
      <c r="I9" s="61">
        <v>5</v>
      </c>
      <c r="J9" s="61">
        <v>6</v>
      </c>
      <c r="K9" s="61">
        <v>7</v>
      </c>
      <c r="L9" s="61">
        <v>8</v>
      </c>
      <c r="M9" s="51" t="s">
        <v>21</v>
      </c>
    </row>
    <row r="10" spans="1:14" ht="12.75" customHeight="1" x14ac:dyDescent="0.2">
      <c r="A10" s="5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 t="s">
        <v>76</v>
      </c>
    </row>
    <row r="11" spans="1:14" ht="12.75" customHeight="1" x14ac:dyDescent="0.2">
      <c r="A11" s="53" t="s">
        <v>22</v>
      </c>
      <c r="B11" s="54">
        <f>C11+H11</f>
        <v>176</v>
      </c>
      <c r="C11" s="54">
        <f>SUM(D11:G11)</f>
        <v>176</v>
      </c>
      <c r="D11" s="54">
        <v>49</v>
      </c>
      <c r="E11" s="54">
        <v>49</v>
      </c>
      <c r="F11" s="54">
        <v>40</v>
      </c>
      <c r="G11" s="21">
        <v>38</v>
      </c>
      <c r="H11" s="54">
        <f>I11+J11+K11+L11+M11</f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</row>
    <row r="12" spans="1:14" ht="12.75" customHeight="1" x14ac:dyDescent="0.2">
      <c r="A12" s="53" t="s">
        <v>23</v>
      </c>
      <c r="B12" s="54">
        <f>C12+H12</f>
        <v>1242</v>
      </c>
      <c r="C12" s="54">
        <f>SUM(D12:G12)</f>
        <v>1009</v>
      </c>
      <c r="D12" s="54">
        <v>243</v>
      </c>
      <c r="E12" s="54">
        <v>279</v>
      </c>
      <c r="F12" s="54">
        <v>261</v>
      </c>
      <c r="G12" s="21">
        <v>226</v>
      </c>
      <c r="H12" s="54">
        <f>I12+J12+K12+L12+M12</f>
        <v>233</v>
      </c>
      <c r="I12" s="54">
        <v>25</v>
      </c>
      <c r="J12" s="54">
        <v>26</v>
      </c>
      <c r="K12" s="54">
        <v>48</v>
      </c>
      <c r="L12" s="54">
        <v>34</v>
      </c>
      <c r="M12" s="54">
        <v>100</v>
      </c>
    </row>
    <row r="13" spans="1:14" ht="12.75" customHeight="1" x14ac:dyDescent="0.2">
      <c r="A13" s="53" t="s">
        <v>24</v>
      </c>
      <c r="B13" s="54">
        <f>C13+H13</f>
        <v>1635</v>
      </c>
      <c r="C13" s="54">
        <f>SUM(D13:G13)</f>
        <v>1273</v>
      </c>
      <c r="D13" s="21">
        <v>355</v>
      </c>
      <c r="E13" s="21">
        <v>317</v>
      </c>
      <c r="F13" s="21">
        <v>296</v>
      </c>
      <c r="G13" s="21">
        <v>305</v>
      </c>
      <c r="H13" s="54">
        <f>I13+J13+K13+L13+M13</f>
        <v>362</v>
      </c>
      <c r="I13" s="21">
        <v>41</v>
      </c>
      <c r="J13" s="21">
        <v>52</v>
      </c>
      <c r="K13" s="21">
        <v>59</v>
      </c>
      <c r="L13" s="21">
        <v>78</v>
      </c>
      <c r="M13" s="21">
        <f>75+57</f>
        <v>132</v>
      </c>
      <c r="N13" s="54"/>
    </row>
    <row r="14" spans="1:14" ht="12.75" customHeight="1" x14ac:dyDescent="0.2">
      <c r="A14" s="53" t="s">
        <v>25</v>
      </c>
      <c r="B14" s="54">
        <f>C14+H14</f>
        <v>1205</v>
      </c>
      <c r="C14" s="54">
        <f>SUM(D14:G14)</f>
        <v>1045</v>
      </c>
      <c r="D14" s="21">
        <f>227+56</f>
        <v>283</v>
      </c>
      <c r="E14" s="21">
        <f>226+62</f>
        <v>288</v>
      </c>
      <c r="F14" s="21">
        <f>209+36</f>
        <v>245</v>
      </c>
      <c r="G14" s="21">
        <f>189+40</f>
        <v>229</v>
      </c>
      <c r="H14" s="54">
        <f>I14+J14+K14+L14+M14</f>
        <v>160</v>
      </c>
      <c r="I14" s="21">
        <v>0</v>
      </c>
      <c r="J14" s="21">
        <v>0</v>
      </c>
      <c r="K14" s="21">
        <v>41</v>
      </c>
      <c r="L14" s="21">
        <v>38</v>
      </c>
      <c r="M14" s="21">
        <f>41+40</f>
        <v>81</v>
      </c>
    </row>
    <row r="15" spans="1:14" ht="12.75" customHeight="1" x14ac:dyDescent="0.2">
      <c r="A15" s="53" t="s">
        <v>26</v>
      </c>
      <c r="B15" s="54">
        <f>C15+H15</f>
        <v>939</v>
      </c>
      <c r="C15" s="54">
        <f>SUM(D15:G15)</f>
        <v>850</v>
      </c>
      <c r="D15" s="21">
        <v>227</v>
      </c>
      <c r="E15" s="21">
        <v>217</v>
      </c>
      <c r="F15" s="21">
        <v>208</v>
      </c>
      <c r="G15" s="21">
        <v>198</v>
      </c>
      <c r="H15" s="54">
        <f>I15+J15+K15+L15+M15</f>
        <v>89</v>
      </c>
      <c r="I15" s="21">
        <v>0</v>
      </c>
      <c r="J15" s="21">
        <v>0</v>
      </c>
      <c r="K15" s="21">
        <v>21</v>
      </c>
      <c r="L15" s="21">
        <v>20</v>
      </c>
      <c r="M15" s="21">
        <f>32+16</f>
        <v>48</v>
      </c>
    </row>
    <row r="16" spans="1:14" s="58" customFormat="1" ht="17.100000000000001" customHeight="1" x14ac:dyDescent="0.2">
      <c r="A16" s="73" t="s">
        <v>27</v>
      </c>
      <c r="B16" s="74">
        <f t="shared" ref="B16:M16" si="0">SUM(B11:B15)</f>
        <v>5197</v>
      </c>
      <c r="C16" s="74">
        <f t="shared" si="0"/>
        <v>4353</v>
      </c>
      <c r="D16" s="74">
        <f t="shared" si="0"/>
        <v>1157</v>
      </c>
      <c r="E16" s="74">
        <f t="shared" si="0"/>
        <v>1150</v>
      </c>
      <c r="F16" s="74">
        <f t="shared" si="0"/>
        <v>1050</v>
      </c>
      <c r="G16" s="74">
        <f t="shared" si="0"/>
        <v>996</v>
      </c>
      <c r="H16" s="74">
        <f t="shared" si="0"/>
        <v>844</v>
      </c>
      <c r="I16" s="74">
        <f t="shared" si="0"/>
        <v>66</v>
      </c>
      <c r="J16" s="74">
        <f t="shared" si="0"/>
        <v>78</v>
      </c>
      <c r="K16" s="74">
        <f t="shared" si="0"/>
        <v>169</v>
      </c>
      <c r="L16" s="74">
        <f t="shared" si="0"/>
        <v>170</v>
      </c>
      <c r="M16" s="74">
        <f t="shared" si="0"/>
        <v>361</v>
      </c>
    </row>
    <row r="17" spans="1:14" ht="12.75" customHeight="1" x14ac:dyDescent="0.2">
      <c r="A17" s="53" t="s">
        <v>28</v>
      </c>
      <c r="B17" s="54">
        <f t="shared" ref="B17:B34" si="1">C17+H17</f>
        <v>2709</v>
      </c>
      <c r="C17" s="54">
        <f t="shared" ref="C17:C34" si="2">SUM(D17:G17)</f>
        <v>2391</v>
      </c>
      <c r="D17" s="54">
        <f>637-45+16</f>
        <v>608</v>
      </c>
      <c r="E17" s="54">
        <f>606-51+40</f>
        <v>595</v>
      </c>
      <c r="F17" s="54">
        <f>610-64+36</f>
        <v>582</v>
      </c>
      <c r="G17" s="21">
        <f>614-43+35</f>
        <v>606</v>
      </c>
      <c r="H17" s="54">
        <f>SUM(I17:M17)</f>
        <v>318</v>
      </c>
      <c r="I17" s="54">
        <v>0</v>
      </c>
      <c r="J17" s="54">
        <v>36</v>
      </c>
      <c r="K17" s="54">
        <v>44</v>
      </c>
      <c r="L17" s="54">
        <v>96</v>
      </c>
      <c r="M17" s="54">
        <v>142</v>
      </c>
    </row>
    <row r="18" spans="1:14" ht="12.75" customHeight="1" x14ac:dyDescent="0.2">
      <c r="A18" s="53" t="s">
        <v>29</v>
      </c>
      <c r="B18" s="54">
        <f t="shared" si="1"/>
        <v>274</v>
      </c>
      <c r="C18" s="54">
        <f t="shared" si="2"/>
        <v>274</v>
      </c>
      <c r="D18" s="54">
        <v>70</v>
      </c>
      <c r="E18" s="54">
        <v>72</v>
      </c>
      <c r="F18" s="54">
        <v>67</v>
      </c>
      <c r="G18" s="21">
        <v>65</v>
      </c>
      <c r="H18" s="54">
        <f>SUM(I18:M18)</f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</row>
    <row r="19" spans="1:14" ht="12.75" customHeight="1" x14ac:dyDescent="0.2">
      <c r="A19" s="53" t="s">
        <v>30</v>
      </c>
      <c r="B19" s="54">
        <f t="shared" si="1"/>
        <v>423</v>
      </c>
      <c r="C19" s="54">
        <f t="shared" si="2"/>
        <v>423</v>
      </c>
      <c r="D19" s="54">
        <v>124</v>
      </c>
      <c r="E19" s="54">
        <v>100</v>
      </c>
      <c r="F19" s="54">
        <v>98</v>
      </c>
      <c r="G19" s="21">
        <v>101</v>
      </c>
      <c r="H19" s="54">
        <f>SUM(I19:M19)</f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</row>
    <row r="20" spans="1:14" ht="12.75" customHeight="1" x14ac:dyDescent="0.2">
      <c r="A20" s="53" t="s">
        <v>31</v>
      </c>
      <c r="B20" s="54">
        <f t="shared" si="1"/>
        <v>572</v>
      </c>
      <c r="C20" s="54">
        <f t="shared" si="2"/>
        <v>572</v>
      </c>
      <c r="D20" s="54">
        <v>147</v>
      </c>
      <c r="E20" s="54">
        <v>139</v>
      </c>
      <c r="F20" s="54">
        <v>147</v>
      </c>
      <c r="G20" s="21">
        <v>139</v>
      </c>
      <c r="H20" s="54">
        <f t="shared" ref="H20:H34" si="3">SUM(I20:M20)</f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</row>
    <row r="21" spans="1:14" ht="12.75" customHeight="1" x14ac:dyDescent="0.2">
      <c r="A21" s="53" t="s">
        <v>32</v>
      </c>
      <c r="B21" s="54">
        <f t="shared" si="1"/>
        <v>1109</v>
      </c>
      <c r="C21" s="54">
        <f t="shared" si="2"/>
        <v>873</v>
      </c>
      <c r="D21" s="54">
        <v>213</v>
      </c>
      <c r="E21" s="54">
        <v>229</v>
      </c>
      <c r="F21" s="54">
        <v>209</v>
      </c>
      <c r="G21" s="21">
        <v>222</v>
      </c>
      <c r="H21" s="54">
        <f t="shared" si="3"/>
        <v>236</v>
      </c>
      <c r="I21" s="54">
        <v>31</v>
      </c>
      <c r="J21" s="54">
        <v>38</v>
      </c>
      <c r="K21" s="54">
        <v>35</v>
      </c>
      <c r="L21" s="54">
        <v>45</v>
      </c>
      <c r="M21" s="54">
        <f>51+36</f>
        <v>87</v>
      </c>
      <c r="N21" s="54"/>
    </row>
    <row r="22" spans="1:14" ht="12.75" customHeight="1" x14ac:dyDescent="0.2">
      <c r="A22" s="53" t="s">
        <v>33</v>
      </c>
      <c r="B22" s="54">
        <f t="shared" si="1"/>
        <v>413</v>
      </c>
      <c r="C22" s="54">
        <f t="shared" si="2"/>
        <v>359</v>
      </c>
      <c r="D22" s="54">
        <f>57+48</f>
        <v>105</v>
      </c>
      <c r="E22" s="54">
        <f>61+36</f>
        <v>97</v>
      </c>
      <c r="F22" s="54">
        <f>42+38</f>
        <v>80</v>
      </c>
      <c r="G22" s="21">
        <f>41+36</f>
        <v>77</v>
      </c>
      <c r="H22" s="54">
        <f t="shared" si="3"/>
        <v>54</v>
      </c>
      <c r="I22" s="54">
        <v>0</v>
      </c>
      <c r="J22" s="54">
        <v>0</v>
      </c>
      <c r="K22" s="54">
        <v>0</v>
      </c>
      <c r="L22" s="54">
        <v>0</v>
      </c>
      <c r="M22" s="54">
        <f>33+21</f>
        <v>54</v>
      </c>
      <c r="N22" s="54"/>
    </row>
    <row r="23" spans="1:14" ht="12.75" customHeight="1" x14ac:dyDescent="0.2">
      <c r="A23" s="53" t="s">
        <v>34</v>
      </c>
      <c r="B23" s="54">
        <f t="shared" si="1"/>
        <v>817</v>
      </c>
      <c r="C23" s="54">
        <f t="shared" si="2"/>
        <v>771</v>
      </c>
      <c r="D23" s="54">
        <v>204</v>
      </c>
      <c r="E23" s="54">
        <v>186</v>
      </c>
      <c r="F23" s="54">
        <v>173</v>
      </c>
      <c r="G23" s="21">
        <v>208</v>
      </c>
      <c r="H23" s="54">
        <f t="shared" si="3"/>
        <v>46</v>
      </c>
      <c r="I23" s="54">
        <v>0</v>
      </c>
      <c r="J23" s="54">
        <v>0</v>
      </c>
      <c r="K23" s="54">
        <v>0</v>
      </c>
      <c r="L23" s="54">
        <v>0</v>
      </c>
      <c r="M23" s="54">
        <f>25+21</f>
        <v>46</v>
      </c>
    </row>
    <row r="24" spans="1:14" ht="12.75" customHeight="1" x14ac:dyDescent="0.2">
      <c r="A24" s="53" t="s">
        <v>35</v>
      </c>
      <c r="B24" s="54">
        <f t="shared" si="1"/>
        <v>1011</v>
      </c>
      <c r="C24" s="54">
        <f t="shared" si="2"/>
        <v>812</v>
      </c>
      <c r="D24" s="54">
        <f>117+(106-16)</f>
        <v>207</v>
      </c>
      <c r="E24" s="54">
        <f>110+(128-40)</f>
        <v>198</v>
      </c>
      <c r="F24" s="54">
        <f>95+(128-36)</f>
        <v>187</v>
      </c>
      <c r="G24" s="21">
        <f>115+(140-35)</f>
        <v>220</v>
      </c>
      <c r="H24" s="54">
        <f t="shared" si="3"/>
        <v>199</v>
      </c>
      <c r="I24" s="54">
        <v>0</v>
      </c>
      <c r="J24" s="54">
        <v>0</v>
      </c>
      <c r="K24" s="54">
        <f>21+21</f>
        <v>42</v>
      </c>
      <c r="L24" s="54">
        <f>27+26</f>
        <v>53</v>
      </c>
      <c r="M24" s="54">
        <f>39+20+25+20</f>
        <v>104</v>
      </c>
    </row>
    <row r="25" spans="1:14" ht="12.75" customHeight="1" x14ac:dyDescent="0.2">
      <c r="A25" s="53" t="s">
        <v>36</v>
      </c>
      <c r="B25" s="54">
        <f t="shared" si="1"/>
        <v>257</v>
      </c>
      <c r="C25" s="54">
        <f t="shared" si="2"/>
        <v>203</v>
      </c>
      <c r="D25" s="54">
        <v>45</v>
      </c>
      <c r="E25" s="54">
        <v>51</v>
      </c>
      <c r="F25" s="54">
        <v>64</v>
      </c>
      <c r="G25" s="21">
        <v>43</v>
      </c>
      <c r="H25" s="54">
        <f t="shared" si="3"/>
        <v>54</v>
      </c>
      <c r="I25" s="54">
        <v>0</v>
      </c>
      <c r="J25" s="54">
        <v>0</v>
      </c>
      <c r="K25" s="54">
        <v>0</v>
      </c>
      <c r="L25" s="54">
        <v>0</v>
      </c>
      <c r="M25" s="54">
        <f>36+18</f>
        <v>54</v>
      </c>
    </row>
    <row r="26" spans="1:14" ht="12.75" customHeight="1" x14ac:dyDescent="0.2">
      <c r="A26" s="53" t="s">
        <v>37</v>
      </c>
      <c r="B26" s="54">
        <f t="shared" si="1"/>
        <v>306</v>
      </c>
      <c r="C26" s="54">
        <f t="shared" si="2"/>
        <v>306</v>
      </c>
      <c r="D26" s="54">
        <f>44+31</f>
        <v>75</v>
      </c>
      <c r="E26" s="54">
        <f>43+37</f>
        <v>80</v>
      </c>
      <c r="F26" s="54">
        <f>41+36</f>
        <v>77</v>
      </c>
      <c r="G26" s="21">
        <f>37+37</f>
        <v>74</v>
      </c>
      <c r="H26" s="54">
        <f t="shared" si="3"/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</row>
    <row r="27" spans="1:14" ht="12.75" customHeight="1" x14ac:dyDescent="0.2">
      <c r="A27" s="53" t="s">
        <v>38</v>
      </c>
      <c r="B27" s="54">
        <f t="shared" si="1"/>
        <v>367</v>
      </c>
      <c r="C27" s="54">
        <f t="shared" si="2"/>
        <v>310</v>
      </c>
      <c r="D27" s="54">
        <v>85</v>
      </c>
      <c r="E27" s="54">
        <v>87</v>
      </c>
      <c r="F27" s="54">
        <v>69</v>
      </c>
      <c r="G27" s="21">
        <v>69</v>
      </c>
      <c r="H27" s="54">
        <f t="shared" si="3"/>
        <v>57</v>
      </c>
      <c r="I27" s="54">
        <v>0</v>
      </c>
      <c r="J27" s="54">
        <v>0</v>
      </c>
      <c r="K27" s="54">
        <v>0</v>
      </c>
      <c r="L27" s="54">
        <v>16</v>
      </c>
      <c r="M27" s="54">
        <f>20+21</f>
        <v>41</v>
      </c>
    </row>
    <row r="28" spans="1:14" ht="12.75" customHeight="1" x14ac:dyDescent="0.2">
      <c r="A28" s="53" t="s">
        <v>39</v>
      </c>
      <c r="B28" s="54">
        <f t="shared" si="1"/>
        <v>1061</v>
      </c>
      <c r="C28" s="54">
        <f t="shared" si="2"/>
        <v>1029</v>
      </c>
      <c r="D28" s="54">
        <v>238</v>
      </c>
      <c r="E28" s="54">
        <v>250</v>
      </c>
      <c r="F28" s="54">
        <v>284</v>
      </c>
      <c r="G28" s="21">
        <v>257</v>
      </c>
      <c r="H28" s="54">
        <f t="shared" si="3"/>
        <v>32</v>
      </c>
      <c r="I28" s="54">
        <v>0</v>
      </c>
      <c r="J28" s="54">
        <v>0</v>
      </c>
      <c r="K28" s="54">
        <v>0</v>
      </c>
      <c r="L28" s="54">
        <v>16</v>
      </c>
      <c r="M28" s="54">
        <v>16</v>
      </c>
    </row>
    <row r="29" spans="1:14" ht="12.75" customHeight="1" x14ac:dyDescent="0.2">
      <c r="A29" s="53" t="s">
        <v>40</v>
      </c>
      <c r="B29" s="54">
        <f t="shared" si="1"/>
        <v>361</v>
      </c>
      <c r="C29" s="54">
        <f t="shared" si="2"/>
        <v>361</v>
      </c>
      <c r="D29" s="54">
        <v>92</v>
      </c>
      <c r="E29" s="54">
        <v>89</v>
      </c>
      <c r="F29" s="54">
        <v>95</v>
      </c>
      <c r="G29" s="21">
        <v>85</v>
      </c>
      <c r="H29" s="54">
        <f t="shared" si="3"/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</row>
    <row r="30" spans="1:14" ht="12.75" customHeight="1" x14ac:dyDescent="0.2">
      <c r="A30" s="53" t="s">
        <v>41</v>
      </c>
      <c r="B30" s="54">
        <f t="shared" si="1"/>
        <v>517</v>
      </c>
      <c r="C30" s="54">
        <f t="shared" si="2"/>
        <v>517</v>
      </c>
      <c r="D30" s="54">
        <f>71+58</f>
        <v>129</v>
      </c>
      <c r="E30" s="54">
        <f>71+64</f>
        <v>135</v>
      </c>
      <c r="F30" s="54">
        <f>64+66</f>
        <v>130</v>
      </c>
      <c r="G30" s="21">
        <f>57+66</f>
        <v>123</v>
      </c>
      <c r="H30" s="54">
        <f t="shared" si="3"/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</row>
    <row r="31" spans="1:14" ht="12.75" customHeight="1" x14ac:dyDescent="0.2">
      <c r="A31" s="53" t="s">
        <v>42</v>
      </c>
      <c r="B31" s="54">
        <f t="shared" si="1"/>
        <v>1533</v>
      </c>
      <c r="C31" s="54">
        <f t="shared" si="2"/>
        <v>1326</v>
      </c>
      <c r="D31" s="54">
        <f>393-56</f>
        <v>337</v>
      </c>
      <c r="E31" s="54">
        <f>373-62</f>
        <v>311</v>
      </c>
      <c r="F31" s="54">
        <f>386-36</f>
        <v>350</v>
      </c>
      <c r="G31" s="21">
        <f>368-40</f>
        <v>328</v>
      </c>
      <c r="H31" s="54">
        <f t="shared" si="3"/>
        <v>207</v>
      </c>
      <c r="I31" s="54">
        <v>25</v>
      </c>
      <c r="J31" s="54">
        <v>34</v>
      </c>
      <c r="K31" s="54">
        <v>44</v>
      </c>
      <c r="L31" s="54">
        <v>23</v>
      </c>
      <c r="M31" s="54">
        <f>47+34</f>
        <v>81</v>
      </c>
      <c r="N31" s="54"/>
    </row>
    <row r="32" spans="1:14" ht="12.75" customHeight="1" x14ac:dyDescent="0.2">
      <c r="A32" s="53" t="s">
        <v>43</v>
      </c>
      <c r="B32" s="54">
        <f t="shared" si="1"/>
        <v>456</v>
      </c>
      <c r="C32" s="54">
        <f t="shared" si="2"/>
        <v>281</v>
      </c>
      <c r="D32" s="54">
        <v>71</v>
      </c>
      <c r="E32" s="54">
        <v>77</v>
      </c>
      <c r="F32" s="54">
        <v>71</v>
      </c>
      <c r="G32" s="21">
        <v>62</v>
      </c>
      <c r="H32" s="54">
        <f t="shared" si="3"/>
        <v>175</v>
      </c>
      <c r="I32" s="54">
        <v>24</v>
      </c>
      <c r="J32" s="54">
        <v>35</v>
      </c>
      <c r="K32" s="54">
        <v>24</v>
      </c>
      <c r="L32" s="54">
        <v>46</v>
      </c>
      <c r="M32" s="54">
        <f>21+25</f>
        <v>46</v>
      </c>
    </row>
    <row r="33" spans="1:13" ht="12.75" customHeight="1" x14ac:dyDescent="0.2">
      <c r="A33" s="53" t="s">
        <v>44</v>
      </c>
      <c r="B33" s="54">
        <f t="shared" si="1"/>
        <v>1334</v>
      </c>
      <c r="C33" s="54">
        <f t="shared" si="2"/>
        <v>1202</v>
      </c>
      <c r="D33" s="54">
        <v>271</v>
      </c>
      <c r="E33" s="54">
        <v>331</v>
      </c>
      <c r="F33" s="54">
        <v>321</v>
      </c>
      <c r="G33" s="21">
        <v>279</v>
      </c>
      <c r="H33" s="54">
        <f t="shared" si="3"/>
        <v>132</v>
      </c>
      <c r="I33" s="54">
        <v>0</v>
      </c>
      <c r="J33" s="54">
        <v>18</v>
      </c>
      <c r="K33" s="54">
        <v>38</v>
      </c>
      <c r="L33" s="54">
        <v>23</v>
      </c>
      <c r="M33" s="54">
        <f>34+19</f>
        <v>53</v>
      </c>
    </row>
    <row r="34" spans="1:13" ht="12.75" customHeight="1" x14ac:dyDescent="0.2">
      <c r="A34" s="53" t="s">
        <v>45</v>
      </c>
      <c r="B34" s="54">
        <f t="shared" si="1"/>
        <v>1711</v>
      </c>
      <c r="C34" s="54">
        <f t="shared" si="2"/>
        <v>1392</v>
      </c>
      <c r="D34" s="54">
        <v>381</v>
      </c>
      <c r="E34" s="54">
        <v>328</v>
      </c>
      <c r="F34" s="54">
        <v>333</v>
      </c>
      <c r="G34" s="21">
        <v>350</v>
      </c>
      <c r="H34" s="54">
        <f t="shared" si="3"/>
        <v>319</v>
      </c>
      <c r="I34" s="54">
        <v>32</v>
      </c>
      <c r="J34" s="54">
        <v>53</v>
      </c>
      <c r="K34" s="54">
        <v>55</v>
      </c>
      <c r="L34" s="54">
        <v>48</v>
      </c>
      <c r="M34" s="54">
        <f>65+66</f>
        <v>131</v>
      </c>
    </row>
    <row r="35" spans="1:13" s="58" customFormat="1" ht="17.100000000000001" customHeight="1" x14ac:dyDescent="0.2">
      <c r="A35" s="73" t="s">
        <v>46</v>
      </c>
      <c r="B35" s="74">
        <f t="shared" ref="B35:M35" si="4">SUM(B17:B34)</f>
        <v>15231</v>
      </c>
      <c r="C35" s="74">
        <f t="shared" si="4"/>
        <v>13402</v>
      </c>
      <c r="D35" s="74">
        <f t="shared" si="4"/>
        <v>3402</v>
      </c>
      <c r="E35" s="74">
        <f t="shared" si="4"/>
        <v>3355</v>
      </c>
      <c r="F35" s="74">
        <f t="shared" si="4"/>
        <v>3337</v>
      </c>
      <c r="G35" s="74">
        <f t="shared" si="4"/>
        <v>3308</v>
      </c>
      <c r="H35" s="74">
        <f t="shared" si="4"/>
        <v>1829</v>
      </c>
      <c r="I35" s="74">
        <f t="shared" si="4"/>
        <v>112</v>
      </c>
      <c r="J35" s="74">
        <f t="shared" si="4"/>
        <v>214</v>
      </c>
      <c r="K35" s="74">
        <f t="shared" si="4"/>
        <v>282</v>
      </c>
      <c r="L35" s="74">
        <f t="shared" si="4"/>
        <v>366</v>
      </c>
      <c r="M35" s="74">
        <f t="shared" si="4"/>
        <v>855</v>
      </c>
    </row>
    <row r="36" spans="1:13" ht="17.100000000000001" customHeight="1" x14ac:dyDescent="0.2">
      <c r="A36" s="55" t="s">
        <v>47</v>
      </c>
      <c r="B36" s="56">
        <f t="shared" ref="B36:M36" si="5">+B16+B35</f>
        <v>20428</v>
      </c>
      <c r="C36" s="56">
        <f t="shared" si="5"/>
        <v>17755</v>
      </c>
      <c r="D36" s="56">
        <f t="shared" si="5"/>
        <v>4559</v>
      </c>
      <c r="E36" s="56">
        <f t="shared" si="5"/>
        <v>4505</v>
      </c>
      <c r="F36" s="56">
        <f t="shared" si="5"/>
        <v>4387</v>
      </c>
      <c r="G36" s="56">
        <f t="shared" si="5"/>
        <v>4304</v>
      </c>
      <c r="H36" s="56">
        <f t="shared" si="5"/>
        <v>2673</v>
      </c>
      <c r="I36" s="56">
        <f t="shared" si="5"/>
        <v>178</v>
      </c>
      <c r="J36" s="56">
        <f t="shared" si="5"/>
        <v>292</v>
      </c>
      <c r="K36" s="56">
        <f t="shared" si="5"/>
        <v>451</v>
      </c>
      <c r="L36" s="56">
        <f t="shared" si="5"/>
        <v>536</v>
      </c>
      <c r="M36" s="56">
        <f t="shared" si="5"/>
        <v>1216</v>
      </c>
    </row>
    <row r="37" spans="1:13" s="66" customFormat="1" ht="12.75" customHeight="1" x14ac:dyDescent="0.25">
      <c r="A37" s="64" t="s">
        <v>75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3" ht="12.75" customHeight="1" x14ac:dyDescent="0.2">
      <c r="A38" s="59" t="s">
        <v>96</v>
      </c>
      <c r="B38" s="58"/>
      <c r="C38" s="58"/>
      <c r="D38" s="58"/>
    </row>
    <row r="39" spans="1:13" ht="6" customHeight="1" x14ac:dyDescent="0.2">
      <c r="A39" s="58"/>
      <c r="B39" s="58"/>
      <c r="C39" s="58"/>
      <c r="D39" s="58"/>
    </row>
    <row r="40" spans="1:13" ht="12.75" customHeight="1" x14ac:dyDescent="0.2">
      <c r="A40" s="60" t="s">
        <v>78</v>
      </c>
      <c r="B40" s="58"/>
      <c r="C40" s="58"/>
      <c r="D40" s="58"/>
    </row>
    <row r="62" spans="1:1" ht="10.199999999999999" x14ac:dyDescent="0.2">
      <c r="A62" s="45"/>
    </row>
    <row r="63" spans="1:1" ht="10.199999999999999" x14ac:dyDescent="0.2"/>
  </sheetData>
  <mergeCells count="6">
    <mergeCell ref="I6:M8"/>
    <mergeCell ref="A5:A9"/>
    <mergeCell ref="B5:B9"/>
    <mergeCell ref="C6:C9"/>
    <mergeCell ref="D6:G8"/>
    <mergeCell ref="H6:H9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24</vt:i4>
      </vt:variant>
    </vt:vector>
  </HeadingPairs>
  <TitlesOfParts>
    <vt:vector size="53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 </vt:lpstr>
      <vt:lpstr>2000</vt:lpstr>
      <vt:lpstr>1999</vt:lpstr>
      <vt:lpstr>1998</vt:lpstr>
      <vt:lpstr>1997</vt:lpstr>
      <vt:lpstr>1996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Schüler an öffentlichen Grund- und Hauptschulen in Stuttgart seit 1996 nach Klassenstufen und Stadtbezirken</dc:title>
  <dc:subject>TABELLE</dc:subject>
  <dc:creator>U12A002</dc:creator>
  <dc:description/>
  <cp:lastModifiedBy>Brüssow, Fabian</cp:lastModifiedBy>
  <cp:lastPrinted>2012-09-19T07:15:36Z</cp:lastPrinted>
  <dcterms:created xsi:type="dcterms:W3CDTF">2019-09-19T08:34:48Z</dcterms:created>
  <dcterms:modified xsi:type="dcterms:W3CDTF">2024-09-19T13:56:23Z</dcterms:modified>
</cp:coreProperties>
</file>