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C:\Users\u123015\AppData\Roaming\OpenText\DM\Temp\"/>
    </mc:Choice>
  </mc:AlternateContent>
  <bookViews>
    <workbookView xWindow="5955" yWindow="-15" windowWidth="6000" windowHeight="6600" tabRatio="425" activeTab="1"/>
  </bookViews>
  <sheets>
    <sheet name="Info" sheetId="1" r:id="rId1"/>
    <sheet name="2023" sheetId="36" r:id="rId2"/>
    <sheet name="2022" sheetId="35" r:id="rId3"/>
    <sheet name="2021" sheetId="34" r:id="rId4"/>
    <sheet name="2020" sheetId="33" r:id="rId5"/>
    <sheet name="2019" sheetId="32" r:id="rId6"/>
    <sheet name="2018" sheetId="31" r:id="rId7"/>
    <sheet name="2017" sheetId="30" r:id="rId8"/>
    <sheet name="2016" sheetId="29" r:id="rId9"/>
    <sheet name="2015" sheetId="28" r:id="rId10"/>
    <sheet name="2014" sheetId="27" r:id="rId11"/>
    <sheet name="2013" sheetId="26" r:id="rId12"/>
    <sheet name="2012" sheetId="25" r:id="rId13"/>
    <sheet name="2011" sheetId="24" r:id="rId14"/>
    <sheet name="2010" sheetId="23" r:id="rId15"/>
    <sheet name="2009" sheetId="22" r:id="rId16"/>
    <sheet name="2008" sheetId="21" r:id="rId17"/>
    <sheet name="2007" sheetId="20" r:id="rId18"/>
    <sheet name="2006" sheetId="17" r:id="rId19"/>
    <sheet name="2005" sheetId="19" r:id="rId20"/>
    <sheet name="2004" sheetId="3" r:id="rId21"/>
    <sheet name="2003" sheetId="4" r:id="rId22"/>
    <sheet name="2002" sheetId="5" r:id="rId23"/>
    <sheet name="2001" sheetId="6" r:id="rId24"/>
    <sheet name="2000" sheetId="7" r:id="rId25"/>
    <sheet name="1999" sheetId="8" r:id="rId26"/>
    <sheet name="1998" sheetId="9" r:id="rId27"/>
    <sheet name="1997" sheetId="10" r:id="rId28"/>
    <sheet name="1996" sheetId="11" r:id="rId29"/>
    <sheet name="1995" sheetId="12" r:id="rId30"/>
    <sheet name="1994" sheetId="13" r:id="rId31"/>
    <sheet name="1993" sheetId="14" r:id="rId32"/>
    <sheet name="1992" sheetId="15" r:id="rId33"/>
  </sheets>
  <externalReferences>
    <externalReference r:id="rId34"/>
  </externalReferences>
  <definedNames>
    <definedName name="_Fill" localSheetId="0" hidden="1">'[1]seit 1990'!#REF!</definedName>
    <definedName name="_Order1" hidden="1">0</definedName>
    <definedName name="Farbe" localSheetId="12">'2012'!$A$3:$K$4,'2012'!$A$6:$K$8,'2012'!$A$9:$A$39</definedName>
    <definedName name="Farbe" localSheetId="11">'2013'!$A$3:$K$4,'2013'!$A$6:$K$8,'2013'!$A$9:$A$39</definedName>
    <definedName name="Farbe" localSheetId="10">'2014'!$A$3:$K$4,'2014'!$A$6:$K$8,'2014'!$A$9:$A$39</definedName>
    <definedName name="Farbe" localSheetId="9">'2015'!$A$3:$K$4,'2015'!$A$6:$K$8,'2015'!$A$9:$A$35</definedName>
    <definedName name="Farbe" localSheetId="8">'2016'!$A$3:$K$3,'2016'!$A$5:$K$7,'2016'!$A$8:$A$34</definedName>
    <definedName name="Farbe" localSheetId="7">'2017'!$A$3:$K$3,'2017'!$A$5:$K$7,'2017'!$A$8:$A$34</definedName>
    <definedName name="Farbe" localSheetId="6">'2018'!$A$3:$K$3,'2018'!$A$5:$K$7,'2018'!$A$8:$A$34</definedName>
    <definedName name="Jahrbuch2013" localSheetId="11">'2013'!$A$6:$K$41</definedName>
    <definedName name="Jahrbuch2013" localSheetId="10">'2014'!$A$6:$K$41</definedName>
    <definedName name="Jahrbuch2013" localSheetId="9">'2015'!$A$6:$K$37</definedName>
    <definedName name="Jahrbuch2013" localSheetId="8">'2016'!$A$5:$K$36</definedName>
    <definedName name="Jahrbuch2013" localSheetId="7">'2017'!$A$5:$K$34</definedName>
    <definedName name="Jahrbuch2013" localSheetId="6">'2018'!$A$5:$K$34</definedName>
    <definedName name="Jahrbuch2013">'2012'!$A$6:$K$41</definedName>
  </definedNames>
  <calcPr calcId="162913"/>
</workbook>
</file>

<file path=xl/calcChain.xml><?xml version="1.0" encoding="utf-8"?>
<calcChain xmlns="http://schemas.openxmlformats.org/spreadsheetml/2006/main">
  <c r="J33" i="31" l="1"/>
  <c r="G33" i="31"/>
  <c r="F33" i="31"/>
  <c r="E33" i="31"/>
  <c r="D33" i="31"/>
  <c r="B33" i="31"/>
  <c r="C32" i="31"/>
  <c r="K32" i="31"/>
  <c r="C31" i="31"/>
  <c r="K31" i="31"/>
  <c r="C30" i="31"/>
  <c r="K30" i="31"/>
  <c r="C29" i="31"/>
  <c r="C28" i="31"/>
  <c r="K28" i="31"/>
  <c r="C27" i="31"/>
  <c r="K27" i="31"/>
  <c r="C26" i="31"/>
  <c r="K26" i="31"/>
  <c r="C25" i="31"/>
  <c r="K25" i="31"/>
  <c r="C24" i="31"/>
  <c r="K24" i="31"/>
  <c r="C23" i="31"/>
  <c r="K23" i="31"/>
  <c r="C22" i="31"/>
  <c r="K22" i="31"/>
  <c r="C21" i="31"/>
  <c r="K21" i="31"/>
  <c r="C20" i="31"/>
  <c r="K20" i="31"/>
  <c r="C19" i="31"/>
  <c r="K19" i="31"/>
  <c r="C18" i="31"/>
  <c r="K18" i="31"/>
  <c r="C17" i="31"/>
  <c r="C16" i="31"/>
  <c r="K16" i="31"/>
  <c r="C15" i="31"/>
  <c r="K15" i="31"/>
  <c r="J14" i="31"/>
  <c r="J34" i="31"/>
  <c r="G14" i="31"/>
  <c r="F14" i="31"/>
  <c r="E14" i="31"/>
  <c r="D14" i="31"/>
  <c r="B14" i="31"/>
  <c r="C13" i="31"/>
  <c r="C12" i="31"/>
  <c r="K12" i="31"/>
  <c r="C11" i="31"/>
  <c r="K11" i="31"/>
  <c r="C10" i="31"/>
  <c r="K10" i="31"/>
  <c r="C9" i="31"/>
  <c r="K9" i="31"/>
  <c r="I10" i="30"/>
  <c r="J33" i="30"/>
  <c r="G33" i="30"/>
  <c r="F33" i="30"/>
  <c r="F34" i="30"/>
  <c r="E33" i="30"/>
  <c r="D33" i="30"/>
  <c r="B33" i="30"/>
  <c r="C32" i="30"/>
  <c r="I32" i="30"/>
  <c r="K32" i="30"/>
  <c r="C31" i="30"/>
  <c r="K31" i="30"/>
  <c r="C30" i="30"/>
  <c r="I30" i="30"/>
  <c r="K30" i="30"/>
  <c r="C29" i="30"/>
  <c r="K29" i="30"/>
  <c r="C28" i="30"/>
  <c r="K28" i="30"/>
  <c r="C27" i="30"/>
  <c r="K27" i="30"/>
  <c r="C26" i="30"/>
  <c r="K26" i="30"/>
  <c r="C25" i="30"/>
  <c r="K25" i="30"/>
  <c r="C24" i="30"/>
  <c r="K24" i="30"/>
  <c r="C23" i="30"/>
  <c r="K23" i="30"/>
  <c r="C22" i="30"/>
  <c r="K22" i="30"/>
  <c r="C21" i="30"/>
  <c r="K21" i="30"/>
  <c r="C20" i="30"/>
  <c r="I20" i="30"/>
  <c r="K20" i="30"/>
  <c r="C19" i="30"/>
  <c r="K19" i="30"/>
  <c r="C18" i="30"/>
  <c r="I18" i="30"/>
  <c r="K18" i="30"/>
  <c r="C17" i="30"/>
  <c r="K17" i="30"/>
  <c r="C16" i="30"/>
  <c r="I16" i="30"/>
  <c r="I33" i="30"/>
  <c r="K16" i="30"/>
  <c r="C15" i="30"/>
  <c r="K15" i="30"/>
  <c r="J14" i="30"/>
  <c r="J34" i="30"/>
  <c r="G14" i="30"/>
  <c r="G34" i="30"/>
  <c r="F14" i="30"/>
  <c r="E14" i="30"/>
  <c r="E34" i="30"/>
  <c r="D14" i="30"/>
  <c r="B14" i="30"/>
  <c r="B34" i="30"/>
  <c r="C13" i="30"/>
  <c r="K13" i="30"/>
  <c r="C12" i="30"/>
  <c r="I12" i="30"/>
  <c r="K12" i="30"/>
  <c r="C11" i="30"/>
  <c r="K11" i="30"/>
  <c r="C10" i="30"/>
  <c r="K10" i="30"/>
  <c r="C9" i="30"/>
  <c r="I9" i="30"/>
  <c r="J33" i="29"/>
  <c r="J34" i="28"/>
  <c r="G33" i="29"/>
  <c r="F33" i="29"/>
  <c r="E33" i="29"/>
  <c r="D33" i="29"/>
  <c r="B33" i="29"/>
  <c r="C32" i="29"/>
  <c r="I32" i="29"/>
  <c r="C31" i="29"/>
  <c r="K31" i="29"/>
  <c r="C30" i="29"/>
  <c r="I30" i="29"/>
  <c r="C29" i="29"/>
  <c r="K29" i="29"/>
  <c r="C28" i="29"/>
  <c r="I28" i="29"/>
  <c r="C27" i="29"/>
  <c r="K27" i="29"/>
  <c r="C26" i="29"/>
  <c r="C25" i="29"/>
  <c r="K25" i="29"/>
  <c r="C24" i="29"/>
  <c r="I24" i="29"/>
  <c r="C23" i="29"/>
  <c r="I23" i="29"/>
  <c r="C22" i="29"/>
  <c r="I22" i="29"/>
  <c r="C21" i="29"/>
  <c r="I21" i="29"/>
  <c r="C20" i="29"/>
  <c r="I20" i="29"/>
  <c r="C19" i="29"/>
  <c r="I19" i="29"/>
  <c r="C18" i="29"/>
  <c r="I18" i="29"/>
  <c r="C17" i="29"/>
  <c r="K17" i="29"/>
  <c r="C16" i="29"/>
  <c r="I16" i="29"/>
  <c r="C15" i="29"/>
  <c r="I15" i="29"/>
  <c r="J14" i="29"/>
  <c r="J34" i="29"/>
  <c r="G14" i="29"/>
  <c r="G34" i="29"/>
  <c r="F14" i="29"/>
  <c r="E14" i="29"/>
  <c r="D14" i="29"/>
  <c r="D34" i="29"/>
  <c r="B14" i="29"/>
  <c r="C13" i="29"/>
  <c r="I13" i="29"/>
  <c r="C12" i="29"/>
  <c r="I12" i="29"/>
  <c r="C11" i="29"/>
  <c r="C10" i="29"/>
  <c r="I10" i="29"/>
  <c r="C9" i="29"/>
  <c r="J15" i="7"/>
  <c r="G34" i="28"/>
  <c r="F34" i="28"/>
  <c r="E34" i="28"/>
  <c r="E35" i="28"/>
  <c r="C35" i="28"/>
  <c r="K35" i="28"/>
  <c r="D34" i="28"/>
  <c r="B34" i="28"/>
  <c r="C33" i="28"/>
  <c r="I33" i="28"/>
  <c r="C32" i="28"/>
  <c r="I32" i="28"/>
  <c r="C31" i="28"/>
  <c r="K31" i="28"/>
  <c r="C30" i="28"/>
  <c r="I30" i="28"/>
  <c r="C29" i="28"/>
  <c r="K29" i="28"/>
  <c r="C28" i="28"/>
  <c r="K28" i="28"/>
  <c r="C27" i="28"/>
  <c r="C26" i="28"/>
  <c r="C25" i="28"/>
  <c r="K25" i="28"/>
  <c r="C24" i="28"/>
  <c r="I24" i="28"/>
  <c r="C23" i="28"/>
  <c r="K23" i="28"/>
  <c r="C22" i="28"/>
  <c r="C21" i="28"/>
  <c r="I20" i="28"/>
  <c r="C20" i="28"/>
  <c r="K20" i="28"/>
  <c r="C19" i="28"/>
  <c r="K19" i="28"/>
  <c r="C18" i="28"/>
  <c r="K18" i="28"/>
  <c r="C17" i="28"/>
  <c r="K17" i="28"/>
  <c r="C16" i="28"/>
  <c r="I16" i="28"/>
  <c r="J15" i="28"/>
  <c r="G15" i="28"/>
  <c r="G35" i="28"/>
  <c r="F15" i="28"/>
  <c r="E15" i="28"/>
  <c r="D15" i="28"/>
  <c r="D35" i="28"/>
  <c r="B15" i="28"/>
  <c r="B35" i="28"/>
  <c r="C14" i="28"/>
  <c r="K14" i="28"/>
  <c r="C13" i="28"/>
  <c r="K13" i="28"/>
  <c r="C12" i="28"/>
  <c r="K12" i="28"/>
  <c r="C11" i="28"/>
  <c r="I11" i="28"/>
  <c r="C10" i="28"/>
  <c r="J37" i="27"/>
  <c r="G37" i="27"/>
  <c r="F37" i="27"/>
  <c r="E37" i="27"/>
  <c r="D37" i="27"/>
  <c r="B37" i="27"/>
  <c r="C35" i="27"/>
  <c r="I35" i="27"/>
  <c r="C34" i="27"/>
  <c r="I34" i="27"/>
  <c r="C33" i="27"/>
  <c r="I33" i="27"/>
  <c r="C32" i="27"/>
  <c r="K32" i="27"/>
  <c r="C31" i="27"/>
  <c r="I31" i="27"/>
  <c r="C30" i="27"/>
  <c r="C29" i="27"/>
  <c r="C28" i="27"/>
  <c r="K28" i="27"/>
  <c r="C27" i="27"/>
  <c r="I27" i="27"/>
  <c r="C26" i="27"/>
  <c r="I25" i="27"/>
  <c r="C25" i="27"/>
  <c r="K25" i="27"/>
  <c r="C24" i="27"/>
  <c r="K24" i="27"/>
  <c r="C23" i="27"/>
  <c r="I23" i="27"/>
  <c r="C22" i="27"/>
  <c r="C21" i="27"/>
  <c r="I21" i="27"/>
  <c r="C20" i="27"/>
  <c r="K20" i="27"/>
  <c r="C19" i="27"/>
  <c r="I19" i="27"/>
  <c r="C18" i="27"/>
  <c r="J16" i="27"/>
  <c r="G16" i="27"/>
  <c r="F16" i="27"/>
  <c r="E16" i="27"/>
  <c r="E39" i="27"/>
  <c r="D16" i="27"/>
  <c r="B16" i="27"/>
  <c r="C14" i="27"/>
  <c r="C13" i="27"/>
  <c r="C12" i="27"/>
  <c r="K12" i="27"/>
  <c r="C11" i="27"/>
  <c r="I11" i="27"/>
  <c r="C10" i="27"/>
  <c r="J37" i="26"/>
  <c r="G37" i="26"/>
  <c r="F37" i="26"/>
  <c r="E37" i="26"/>
  <c r="D37" i="26"/>
  <c r="B37" i="26"/>
  <c r="C35" i="26"/>
  <c r="I35" i="26"/>
  <c r="K34" i="26"/>
  <c r="C34" i="26"/>
  <c r="I34" i="26"/>
  <c r="C33" i="26"/>
  <c r="K33" i="26"/>
  <c r="C32" i="26"/>
  <c r="I32" i="26"/>
  <c r="C31" i="26"/>
  <c r="K31" i="26"/>
  <c r="C30" i="26"/>
  <c r="C29" i="26"/>
  <c r="K29" i="26"/>
  <c r="C28" i="26"/>
  <c r="I28" i="26"/>
  <c r="I27" i="26"/>
  <c r="C27" i="26"/>
  <c r="K27" i="26"/>
  <c r="C26" i="26"/>
  <c r="K26" i="26"/>
  <c r="C25" i="26"/>
  <c r="C24" i="26"/>
  <c r="I24" i="26"/>
  <c r="I23" i="26"/>
  <c r="C23" i="26"/>
  <c r="K23" i="26"/>
  <c r="C22" i="26"/>
  <c r="K22" i="26"/>
  <c r="C21" i="26"/>
  <c r="C20" i="26"/>
  <c r="I20" i="26"/>
  <c r="I19" i="26"/>
  <c r="C19" i="26"/>
  <c r="K19" i="26"/>
  <c r="C18" i="26"/>
  <c r="I18" i="26"/>
  <c r="J16" i="26"/>
  <c r="G16" i="26"/>
  <c r="F16" i="26"/>
  <c r="F39" i="26"/>
  <c r="E16" i="26"/>
  <c r="E39" i="26"/>
  <c r="D16" i="26"/>
  <c r="B16" i="26"/>
  <c r="I14" i="26"/>
  <c r="C14" i="26"/>
  <c r="K14" i="26"/>
  <c r="C13" i="26"/>
  <c r="K13" i="26"/>
  <c r="C12" i="26"/>
  <c r="I12" i="26"/>
  <c r="C11" i="26"/>
  <c r="K11" i="26"/>
  <c r="C10" i="26"/>
  <c r="C10" i="25"/>
  <c r="I10" i="25"/>
  <c r="I23" i="25"/>
  <c r="I25" i="25"/>
  <c r="I33" i="25"/>
  <c r="I12" i="25"/>
  <c r="J37" i="25"/>
  <c r="G37" i="25"/>
  <c r="F37" i="25"/>
  <c r="E37" i="25"/>
  <c r="D37" i="25"/>
  <c r="B37" i="25"/>
  <c r="C35" i="25"/>
  <c r="C34" i="25"/>
  <c r="C33" i="25"/>
  <c r="K33" i="25"/>
  <c r="C32" i="25"/>
  <c r="C31" i="25"/>
  <c r="C30" i="25"/>
  <c r="C29" i="25"/>
  <c r="K29" i="25"/>
  <c r="C28" i="25"/>
  <c r="C27" i="25"/>
  <c r="C26" i="25"/>
  <c r="C25" i="25"/>
  <c r="K25" i="25"/>
  <c r="C24" i="25"/>
  <c r="C23" i="25"/>
  <c r="K23" i="25"/>
  <c r="C22" i="25"/>
  <c r="C21" i="25"/>
  <c r="K21" i="25"/>
  <c r="C20" i="25"/>
  <c r="C19" i="25"/>
  <c r="C18" i="25"/>
  <c r="I18" i="25"/>
  <c r="J16" i="25"/>
  <c r="J39" i="25"/>
  <c r="G16" i="25"/>
  <c r="G39" i="25"/>
  <c r="C39" i="25"/>
  <c r="F16" i="25"/>
  <c r="E16" i="25"/>
  <c r="E39" i="25"/>
  <c r="D16" i="25"/>
  <c r="B16" i="25"/>
  <c r="B39" i="25"/>
  <c r="C14" i="25"/>
  <c r="C13" i="25"/>
  <c r="C12" i="25"/>
  <c r="K12" i="25"/>
  <c r="C11" i="25"/>
  <c r="C10" i="24"/>
  <c r="C11" i="24"/>
  <c r="K11" i="24"/>
  <c r="C12" i="24"/>
  <c r="K12" i="24"/>
  <c r="C13" i="24"/>
  <c r="K13" i="24"/>
  <c r="C14" i="24"/>
  <c r="K14" i="24"/>
  <c r="B16" i="24"/>
  <c r="D16" i="24"/>
  <c r="D39" i="24"/>
  <c r="E16" i="24"/>
  <c r="F16" i="24"/>
  <c r="G16" i="24"/>
  <c r="I16" i="24"/>
  <c r="I39" i="24"/>
  <c r="J16" i="24"/>
  <c r="C18" i="24"/>
  <c r="K18" i="24"/>
  <c r="C19" i="24"/>
  <c r="K19" i="24"/>
  <c r="C20" i="24"/>
  <c r="K20" i="24"/>
  <c r="C21" i="24"/>
  <c r="K21" i="24"/>
  <c r="C22" i="24"/>
  <c r="K22" i="24"/>
  <c r="C23" i="24"/>
  <c r="K23" i="24"/>
  <c r="C24" i="24"/>
  <c r="K24" i="24"/>
  <c r="C25" i="24"/>
  <c r="K25" i="24"/>
  <c r="C26" i="24"/>
  <c r="K26" i="24"/>
  <c r="C27" i="24"/>
  <c r="K27" i="24"/>
  <c r="C28" i="24"/>
  <c r="K28" i="24"/>
  <c r="C29" i="24"/>
  <c r="K29" i="24"/>
  <c r="C30" i="24"/>
  <c r="K30" i="24"/>
  <c r="C31" i="24"/>
  <c r="K31" i="24"/>
  <c r="C32" i="24"/>
  <c r="K32" i="24"/>
  <c r="C33" i="24"/>
  <c r="K33" i="24"/>
  <c r="C34" i="24"/>
  <c r="K34" i="24"/>
  <c r="C35" i="24"/>
  <c r="K35" i="24"/>
  <c r="B37" i="24"/>
  <c r="B39" i="24"/>
  <c r="D37" i="24"/>
  <c r="E37" i="24"/>
  <c r="E39" i="24"/>
  <c r="F37" i="24"/>
  <c r="G37" i="24"/>
  <c r="I37" i="24"/>
  <c r="J37" i="24"/>
  <c r="J39" i="24"/>
  <c r="F39" i="24"/>
  <c r="C10" i="23"/>
  <c r="C11" i="23"/>
  <c r="K11" i="23"/>
  <c r="C12" i="23"/>
  <c r="K12" i="23"/>
  <c r="C13" i="23"/>
  <c r="K13" i="23"/>
  <c r="C14" i="23"/>
  <c r="K14" i="23"/>
  <c r="B16" i="23"/>
  <c r="D16" i="23"/>
  <c r="E16" i="23"/>
  <c r="F16" i="23"/>
  <c r="G16" i="23"/>
  <c r="G39" i="23"/>
  <c r="I16" i="23"/>
  <c r="J16" i="23"/>
  <c r="C18" i="23"/>
  <c r="K18" i="23"/>
  <c r="C19" i="23"/>
  <c r="K19" i="23"/>
  <c r="C20" i="23"/>
  <c r="K20" i="23"/>
  <c r="C21" i="23"/>
  <c r="K21" i="23"/>
  <c r="C22" i="23"/>
  <c r="K22" i="23"/>
  <c r="C23" i="23"/>
  <c r="K23" i="23"/>
  <c r="C24" i="23"/>
  <c r="K24" i="23"/>
  <c r="C25" i="23"/>
  <c r="K25" i="23"/>
  <c r="C26" i="23"/>
  <c r="K26" i="23"/>
  <c r="C27" i="23"/>
  <c r="K27" i="23"/>
  <c r="C28" i="23"/>
  <c r="K28" i="23"/>
  <c r="C29" i="23"/>
  <c r="K29" i="23"/>
  <c r="C30" i="23"/>
  <c r="K30" i="23"/>
  <c r="C31" i="23"/>
  <c r="K31" i="23"/>
  <c r="C32" i="23"/>
  <c r="K32" i="23"/>
  <c r="C33" i="23"/>
  <c r="K33" i="23"/>
  <c r="C34" i="23"/>
  <c r="K34" i="23"/>
  <c r="C35" i="23"/>
  <c r="K35" i="23"/>
  <c r="B37" i="23"/>
  <c r="C37" i="23"/>
  <c r="D37" i="23"/>
  <c r="D39" i="23"/>
  <c r="E37" i="23"/>
  <c r="F37" i="23"/>
  <c r="F39" i="23"/>
  <c r="G37" i="23"/>
  <c r="I37" i="23"/>
  <c r="J37" i="23"/>
  <c r="B39" i="23"/>
  <c r="I39" i="23"/>
  <c r="C10" i="8"/>
  <c r="D16" i="22"/>
  <c r="D39" i="22"/>
  <c r="D37" i="22"/>
  <c r="E16" i="22"/>
  <c r="E39" i="22"/>
  <c r="E37" i="22"/>
  <c r="F16" i="22"/>
  <c r="F37" i="22"/>
  <c r="F39" i="22"/>
  <c r="G16" i="22"/>
  <c r="G37" i="22"/>
  <c r="C18" i="22"/>
  <c r="K18" i="22"/>
  <c r="C19" i="22"/>
  <c r="H19" i="22"/>
  <c r="C20" i="22"/>
  <c r="H20" i="22"/>
  <c r="C21" i="22"/>
  <c r="K21" i="22"/>
  <c r="C22" i="22"/>
  <c r="K22" i="22"/>
  <c r="C23" i="22"/>
  <c r="C24" i="22"/>
  <c r="H24" i="22"/>
  <c r="C25" i="22"/>
  <c r="C26" i="22"/>
  <c r="C27" i="22"/>
  <c r="H27" i="22"/>
  <c r="C28" i="22"/>
  <c r="C29" i="22"/>
  <c r="H29" i="22"/>
  <c r="C30" i="22"/>
  <c r="H30" i="22"/>
  <c r="C31" i="22"/>
  <c r="C32" i="22"/>
  <c r="C33" i="22"/>
  <c r="C34" i="22"/>
  <c r="C35" i="22"/>
  <c r="H35" i="22"/>
  <c r="H28" i="22"/>
  <c r="H23" i="22"/>
  <c r="H22" i="22"/>
  <c r="H18" i="22"/>
  <c r="C10" i="22"/>
  <c r="K10" i="22"/>
  <c r="C11" i="22"/>
  <c r="H11" i="22"/>
  <c r="C12" i="22"/>
  <c r="H12" i="22"/>
  <c r="C13" i="22"/>
  <c r="C14" i="22"/>
  <c r="H13" i="22"/>
  <c r="K11" i="22"/>
  <c r="K13" i="22"/>
  <c r="B16" i="22"/>
  <c r="B39" i="22"/>
  <c r="I16" i="22"/>
  <c r="J16" i="22"/>
  <c r="K19" i="22"/>
  <c r="K20" i="22"/>
  <c r="K23" i="22"/>
  <c r="K27" i="22"/>
  <c r="K28" i="22"/>
  <c r="K29" i="22"/>
  <c r="K35" i="22"/>
  <c r="B37" i="22"/>
  <c r="I37" i="22"/>
  <c r="I39" i="22"/>
  <c r="J37" i="22"/>
  <c r="J39" i="22"/>
  <c r="D15" i="12"/>
  <c r="D37" i="12"/>
  <c r="D35" i="12"/>
  <c r="E15" i="12"/>
  <c r="E35" i="12"/>
  <c r="E37" i="12"/>
  <c r="F15" i="12"/>
  <c r="F35" i="12"/>
  <c r="F37" i="12"/>
  <c r="G15" i="12"/>
  <c r="G35" i="12"/>
  <c r="C17" i="12"/>
  <c r="C18" i="12"/>
  <c r="C19" i="12"/>
  <c r="C20" i="12"/>
  <c r="C21" i="12"/>
  <c r="C22" i="12"/>
  <c r="K22" i="12"/>
  <c r="C23" i="12"/>
  <c r="C24" i="12"/>
  <c r="C25" i="12"/>
  <c r="C26" i="12"/>
  <c r="K26" i="12"/>
  <c r="C27" i="12"/>
  <c r="C28" i="12"/>
  <c r="C29" i="12"/>
  <c r="C30" i="12"/>
  <c r="K30" i="12"/>
  <c r="C31" i="12"/>
  <c r="C32" i="12"/>
  <c r="C33" i="12"/>
  <c r="C34" i="12"/>
  <c r="K34" i="12"/>
  <c r="C10" i="12"/>
  <c r="C11" i="12"/>
  <c r="C12" i="12"/>
  <c r="C15" i="12"/>
  <c r="C13" i="12"/>
  <c r="K13" i="12"/>
  <c r="C14" i="12"/>
  <c r="C17" i="13"/>
  <c r="C18" i="13"/>
  <c r="C19" i="13"/>
  <c r="C20" i="13"/>
  <c r="K20" i="13"/>
  <c r="C21" i="13"/>
  <c r="C22" i="13"/>
  <c r="K22" i="13"/>
  <c r="C23" i="13"/>
  <c r="C24" i="13"/>
  <c r="K24" i="13"/>
  <c r="C25" i="13"/>
  <c r="C26" i="13"/>
  <c r="K26" i="13"/>
  <c r="C27" i="13"/>
  <c r="C35" i="13"/>
  <c r="C28" i="13"/>
  <c r="K28" i="13"/>
  <c r="C29" i="13"/>
  <c r="C30" i="13"/>
  <c r="K30" i="13"/>
  <c r="C31" i="13"/>
  <c r="K31" i="13"/>
  <c r="C32" i="13"/>
  <c r="K32" i="13"/>
  <c r="C33" i="13"/>
  <c r="K33" i="13"/>
  <c r="C34" i="13"/>
  <c r="K34" i="13"/>
  <c r="D15" i="14"/>
  <c r="D35" i="14"/>
  <c r="D37" i="14"/>
  <c r="E15" i="14"/>
  <c r="E37" i="14"/>
  <c r="E35" i="14"/>
  <c r="F15" i="14"/>
  <c r="F37" i="14"/>
  <c r="F35" i="14"/>
  <c r="G15" i="14"/>
  <c r="G35" i="14"/>
  <c r="G37" i="14"/>
  <c r="C37" i="14"/>
  <c r="C17" i="14"/>
  <c r="C18" i="14"/>
  <c r="C19" i="14"/>
  <c r="C20" i="14"/>
  <c r="K20" i="14"/>
  <c r="C21" i="14"/>
  <c r="C22" i="14"/>
  <c r="K22" i="14"/>
  <c r="C23" i="14"/>
  <c r="K23" i="14"/>
  <c r="C24" i="14"/>
  <c r="K24" i="14"/>
  <c r="C25" i="14"/>
  <c r="C26" i="14"/>
  <c r="K26" i="14"/>
  <c r="C27" i="14"/>
  <c r="C28" i="14"/>
  <c r="K28" i="14"/>
  <c r="C29" i="14"/>
  <c r="K29" i="14"/>
  <c r="C30" i="14"/>
  <c r="C31" i="14"/>
  <c r="C32" i="14"/>
  <c r="K32" i="14"/>
  <c r="C33" i="14"/>
  <c r="C34" i="14"/>
  <c r="C10" i="14"/>
  <c r="K10" i="14"/>
  <c r="C11" i="14"/>
  <c r="C12" i="14"/>
  <c r="C13" i="14"/>
  <c r="K13" i="14"/>
  <c r="C14" i="14"/>
  <c r="K14" i="14"/>
  <c r="D16" i="17"/>
  <c r="D37" i="17"/>
  <c r="D39" i="17"/>
  <c r="E16" i="17"/>
  <c r="E37" i="17"/>
  <c r="E39" i="17"/>
  <c r="F16" i="17"/>
  <c r="F39" i="17"/>
  <c r="F37" i="17"/>
  <c r="G16" i="17"/>
  <c r="G37" i="17"/>
  <c r="C18" i="17"/>
  <c r="C19" i="17"/>
  <c r="K19" i="17"/>
  <c r="C20" i="17"/>
  <c r="H20" i="17"/>
  <c r="K20" i="17"/>
  <c r="C21" i="17"/>
  <c r="K21" i="17"/>
  <c r="C22" i="17"/>
  <c r="K22" i="17"/>
  <c r="H22" i="17"/>
  <c r="C23" i="17"/>
  <c r="K23" i="17"/>
  <c r="C24" i="17"/>
  <c r="K24" i="17"/>
  <c r="C25" i="17"/>
  <c r="C26" i="17"/>
  <c r="H26" i="17"/>
  <c r="C27" i="17"/>
  <c r="C28" i="17"/>
  <c r="K28" i="17"/>
  <c r="C29" i="17"/>
  <c r="K29" i="17"/>
  <c r="C30" i="17"/>
  <c r="H30" i="17"/>
  <c r="C31" i="17"/>
  <c r="H31" i="17"/>
  <c r="C32" i="17"/>
  <c r="C33" i="17"/>
  <c r="H33" i="17"/>
  <c r="K33" i="17"/>
  <c r="C34" i="17"/>
  <c r="H34" i="17"/>
  <c r="C35" i="17"/>
  <c r="K35" i="17"/>
  <c r="C10" i="17"/>
  <c r="K10" i="17"/>
  <c r="C11" i="17"/>
  <c r="K11" i="17"/>
  <c r="C12" i="17"/>
  <c r="K12" i="17"/>
  <c r="C13" i="17"/>
  <c r="K13" i="17"/>
  <c r="H13" i="17"/>
  <c r="C14" i="17"/>
  <c r="H35" i="17"/>
  <c r="H32" i="17"/>
  <c r="H29" i="17"/>
  <c r="H28" i="17"/>
  <c r="H24" i="17"/>
  <c r="H21" i="17"/>
  <c r="H19" i="17"/>
  <c r="H10" i="17"/>
  <c r="H14" i="17"/>
  <c r="D15" i="19"/>
  <c r="D37" i="19"/>
  <c r="D35" i="19"/>
  <c r="E15" i="19"/>
  <c r="E35" i="19"/>
  <c r="E37" i="19"/>
  <c r="F15" i="19"/>
  <c r="F37" i="19"/>
  <c r="F35" i="19"/>
  <c r="G15" i="19"/>
  <c r="G37" i="19"/>
  <c r="G35" i="19"/>
  <c r="C34" i="19"/>
  <c r="H34" i="19"/>
  <c r="C10" i="19"/>
  <c r="C11" i="19"/>
  <c r="K11" i="19"/>
  <c r="C12" i="19"/>
  <c r="H12" i="19"/>
  <c r="C13" i="19"/>
  <c r="H13" i="19"/>
  <c r="C14" i="19"/>
  <c r="K14" i="19"/>
  <c r="C33" i="19"/>
  <c r="H33" i="19"/>
  <c r="C32" i="19"/>
  <c r="H32" i="19"/>
  <c r="C31" i="19"/>
  <c r="H31" i="19"/>
  <c r="C30" i="19"/>
  <c r="K30" i="19"/>
  <c r="C29" i="19"/>
  <c r="H29" i="19"/>
  <c r="C28" i="19"/>
  <c r="H28" i="19"/>
  <c r="C27" i="19"/>
  <c r="H27" i="19"/>
  <c r="C26" i="19"/>
  <c r="H26" i="19"/>
  <c r="C25" i="19"/>
  <c r="H25" i="19"/>
  <c r="C24" i="19"/>
  <c r="H24" i="19"/>
  <c r="C23" i="19"/>
  <c r="H23" i="19"/>
  <c r="C22" i="19"/>
  <c r="K22" i="19"/>
  <c r="C21" i="19"/>
  <c r="H21" i="19"/>
  <c r="C20" i="19"/>
  <c r="K20" i="19"/>
  <c r="H20" i="19"/>
  <c r="C19" i="19"/>
  <c r="H19" i="19"/>
  <c r="C18" i="19"/>
  <c r="H18" i="19"/>
  <c r="C17" i="19"/>
  <c r="H17" i="19"/>
  <c r="H11" i="19"/>
  <c r="D15" i="3"/>
  <c r="D35" i="3"/>
  <c r="D37" i="3"/>
  <c r="E15" i="3"/>
  <c r="E37" i="3"/>
  <c r="E35" i="3"/>
  <c r="F15" i="3"/>
  <c r="F35" i="3"/>
  <c r="C35" i="3"/>
  <c r="H35" i="3"/>
  <c r="G15" i="3"/>
  <c r="G35" i="3"/>
  <c r="G37" i="3"/>
  <c r="C34" i="3"/>
  <c r="K34" i="3"/>
  <c r="C33" i="3"/>
  <c r="K33" i="3"/>
  <c r="H33" i="3"/>
  <c r="C32" i="3"/>
  <c r="H32" i="3"/>
  <c r="C31" i="3"/>
  <c r="H31" i="3"/>
  <c r="C30" i="3"/>
  <c r="K30" i="3"/>
  <c r="C29" i="3"/>
  <c r="H29" i="3"/>
  <c r="C28" i="3"/>
  <c r="H28" i="3"/>
  <c r="C27" i="3"/>
  <c r="H27" i="3"/>
  <c r="C26" i="3"/>
  <c r="K26" i="3"/>
  <c r="C25" i="3"/>
  <c r="H25" i="3"/>
  <c r="C24" i="3"/>
  <c r="H24" i="3"/>
  <c r="C23" i="3"/>
  <c r="K23" i="3"/>
  <c r="H23" i="3"/>
  <c r="C22" i="3"/>
  <c r="K22" i="3"/>
  <c r="C21" i="3"/>
  <c r="H21" i="3"/>
  <c r="C20" i="3"/>
  <c r="H20" i="3"/>
  <c r="C19" i="3"/>
  <c r="H19" i="3"/>
  <c r="C18" i="3"/>
  <c r="K18" i="3"/>
  <c r="C17" i="3"/>
  <c r="K17" i="3"/>
  <c r="H17" i="3"/>
  <c r="C10" i="3"/>
  <c r="H10" i="3"/>
  <c r="C11" i="3"/>
  <c r="C12" i="3"/>
  <c r="H12" i="3"/>
  <c r="C13" i="3"/>
  <c r="C14" i="3"/>
  <c r="K14" i="3"/>
  <c r="H14" i="3"/>
  <c r="H13" i="3"/>
  <c r="D15" i="4"/>
  <c r="D35" i="4"/>
  <c r="C35" i="4"/>
  <c r="K35" i="4"/>
  <c r="D37" i="4"/>
  <c r="E15" i="4"/>
  <c r="E35" i="4"/>
  <c r="E37" i="4"/>
  <c r="F15" i="4"/>
  <c r="F37" i="4"/>
  <c r="F35" i="4"/>
  <c r="G15" i="4"/>
  <c r="G35" i="4"/>
  <c r="C34" i="4"/>
  <c r="H34" i="4"/>
  <c r="C33" i="4"/>
  <c r="C32" i="4"/>
  <c r="H32" i="4"/>
  <c r="C31" i="4"/>
  <c r="H31" i="4"/>
  <c r="C30" i="4"/>
  <c r="K30" i="4"/>
  <c r="H30" i="4"/>
  <c r="C29" i="4"/>
  <c r="K29" i="4"/>
  <c r="H29" i="4"/>
  <c r="C28" i="4"/>
  <c r="C27" i="4"/>
  <c r="H27" i="4"/>
  <c r="C26" i="4"/>
  <c r="H26" i="4"/>
  <c r="C25" i="4"/>
  <c r="K25" i="4"/>
  <c r="H25" i="4"/>
  <c r="C24" i="4"/>
  <c r="H24" i="4"/>
  <c r="C23" i="4"/>
  <c r="C22" i="4"/>
  <c r="H22" i="4"/>
  <c r="C21" i="4"/>
  <c r="C20" i="4"/>
  <c r="H20" i="4"/>
  <c r="C19" i="4"/>
  <c r="C18" i="4"/>
  <c r="H18" i="4"/>
  <c r="C17" i="4"/>
  <c r="C10" i="4"/>
  <c r="H10" i="4"/>
  <c r="C11" i="4"/>
  <c r="C12" i="4"/>
  <c r="H12" i="4"/>
  <c r="C13" i="4"/>
  <c r="H13" i="4"/>
  <c r="C14" i="4"/>
  <c r="H14" i="4"/>
  <c r="C15" i="4"/>
  <c r="H15" i="4"/>
  <c r="D15" i="5"/>
  <c r="D37" i="5"/>
  <c r="D35" i="5"/>
  <c r="E15" i="5"/>
  <c r="E37" i="5"/>
  <c r="E35" i="5"/>
  <c r="F15" i="5"/>
  <c r="F35" i="5"/>
  <c r="G15" i="5"/>
  <c r="G37" i="5"/>
  <c r="G35" i="5"/>
  <c r="C34" i="5"/>
  <c r="H34" i="5"/>
  <c r="C33" i="5"/>
  <c r="C32" i="5"/>
  <c r="K32" i="5"/>
  <c r="C31" i="5"/>
  <c r="H31" i="5"/>
  <c r="C30" i="5"/>
  <c r="H30" i="5"/>
  <c r="C29" i="5"/>
  <c r="H29" i="5"/>
  <c r="C28" i="5"/>
  <c r="K28" i="5"/>
  <c r="C27" i="5"/>
  <c r="C26" i="5"/>
  <c r="H26" i="5"/>
  <c r="C25" i="5"/>
  <c r="C24" i="5"/>
  <c r="K24" i="5"/>
  <c r="C23" i="5"/>
  <c r="C22" i="5"/>
  <c r="H22" i="5"/>
  <c r="C21" i="5"/>
  <c r="H21" i="5"/>
  <c r="C20" i="5"/>
  <c r="K20" i="5"/>
  <c r="C19" i="5"/>
  <c r="H19" i="5"/>
  <c r="C18" i="5"/>
  <c r="H18" i="5"/>
  <c r="C17" i="5"/>
  <c r="C10" i="5"/>
  <c r="C11" i="5"/>
  <c r="C12" i="5"/>
  <c r="C13" i="5"/>
  <c r="H13" i="5"/>
  <c r="C14" i="5"/>
  <c r="H14" i="5"/>
  <c r="H12" i="5"/>
  <c r="J16" i="21"/>
  <c r="J37" i="21"/>
  <c r="I16" i="21"/>
  <c r="C10" i="21"/>
  <c r="K10" i="21"/>
  <c r="C11" i="21"/>
  <c r="C16" i="21"/>
  <c r="C12" i="21"/>
  <c r="K12" i="21"/>
  <c r="C13" i="21"/>
  <c r="K13" i="21"/>
  <c r="C14" i="21"/>
  <c r="K14" i="21"/>
  <c r="B16" i="21"/>
  <c r="D16" i="21"/>
  <c r="D39" i="21"/>
  <c r="E16" i="21"/>
  <c r="E39" i="21"/>
  <c r="F16" i="21"/>
  <c r="G16" i="21"/>
  <c r="C18" i="21"/>
  <c r="C19" i="21"/>
  <c r="K19" i="21"/>
  <c r="C20" i="21"/>
  <c r="K20" i="21"/>
  <c r="C21" i="21"/>
  <c r="K21" i="21"/>
  <c r="C22" i="21"/>
  <c r="K22" i="21"/>
  <c r="C23" i="21"/>
  <c r="K23" i="21"/>
  <c r="C24" i="21"/>
  <c r="K24" i="21"/>
  <c r="C25" i="21"/>
  <c r="K25" i="21"/>
  <c r="C26" i="21"/>
  <c r="K26" i="21"/>
  <c r="C27" i="21"/>
  <c r="K27" i="21"/>
  <c r="C28" i="21"/>
  <c r="K28" i="21"/>
  <c r="C29" i="21"/>
  <c r="K29" i="21"/>
  <c r="C30" i="21"/>
  <c r="K30" i="21"/>
  <c r="C31" i="21"/>
  <c r="K31" i="21"/>
  <c r="C32" i="21"/>
  <c r="K32" i="21"/>
  <c r="C33" i="21"/>
  <c r="K33" i="21"/>
  <c r="C34" i="21"/>
  <c r="K34" i="21"/>
  <c r="C35" i="21"/>
  <c r="K35" i="21"/>
  <c r="B37" i="21"/>
  <c r="D37" i="21"/>
  <c r="E37" i="21"/>
  <c r="F37" i="21"/>
  <c r="G37" i="21"/>
  <c r="I37" i="21"/>
  <c r="C18" i="20"/>
  <c r="H18" i="20"/>
  <c r="C19" i="20"/>
  <c r="C20" i="20"/>
  <c r="H20" i="20"/>
  <c r="C21" i="20"/>
  <c r="C22" i="20"/>
  <c r="H22" i="20"/>
  <c r="C23" i="20"/>
  <c r="C24" i="20"/>
  <c r="H24" i="20"/>
  <c r="C25" i="20"/>
  <c r="H25" i="20"/>
  <c r="C26" i="20"/>
  <c r="C27" i="20"/>
  <c r="C28" i="20"/>
  <c r="H28" i="20"/>
  <c r="C29" i="20"/>
  <c r="C30" i="20"/>
  <c r="H30" i="20"/>
  <c r="C31" i="20"/>
  <c r="C32" i="20"/>
  <c r="H32" i="20"/>
  <c r="C33" i="20"/>
  <c r="H33" i="20"/>
  <c r="C34" i="20"/>
  <c r="K34" i="20"/>
  <c r="H34" i="20"/>
  <c r="C35" i="20"/>
  <c r="H35" i="20"/>
  <c r="H29" i="20"/>
  <c r="H27" i="20"/>
  <c r="H21" i="20"/>
  <c r="H19" i="20"/>
  <c r="C10" i="20"/>
  <c r="C11" i="20"/>
  <c r="C12" i="20"/>
  <c r="H12" i="20"/>
  <c r="C13" i="20"/>
  <c r="H13" i="20"/>
  <c r="C14" i="20"/>
  <c r="H11" i="20"/>
  <c r="D16" i="20"/>
  <c r="D39" i="20"/>
  <c r="D37" i="20"/>
  <c r="E16" i="20"/>
  <c r="E37" i="20"/>
  <c r="F16" i="20"/>
  <c r="F37" i="20"/>
  <c r="F39" i="20"/>
  <c r="G16" i="20"/>
  <c r="G37" i="20"/>
  <c r="G39" i="20"/>
  <c r="K10" i="20"/>
  <c r="K12" i="20"/>
  <c r="K13" i="20"/>
  <c r="B16" i="20"/>
  <c r="I16" i="20"/>
  <c r="I39" i="20"/>
  <c r="J16" i="20"/>
  <c r="K19" i="20"/>
  <c r="K21" i="20"/>
  <c r="K25" i="20"/>
  <c r="K27" i="20"/>
  <c r="K29" i="20"/>
  <c r="K33" i="20"/>
  <c r="K35" i="20"/>
  <c r="B37" i="20"/>
  <c r="B39" i="20"/>
  <c r="I37" i="20"/>
  <c r="J37" i="20"/>
  <c r="J39" i="20"/>
  <c r="K12" i="19"/>
  <c r="K13" i="19"/>
  <c r="B15" i="19"/>
  <c r="I15" i="19"/>
  <c r="J15" i="19"/>
  <c r="J37" i="19"/>
  <c r="K17" i="19"/>
  <c r="K19" i="19"/>
  <c r="K21" i="19"/>
  <c r="K23" i="19"/>
  <c r="K25" i="19"/>
  <c r="K27" i="19"/>
  <c r="K29" i="19"/>
  <c r="K31" i="19"/>
  <c r="K33" i="19"/>
  <c r="K34" i="19"/>
  <c r="B35" i="19"/>
  <c r="B37" i="19"/>
  <c r="I35" i="19"/>
  <c r="I37" i="19"/>
  <c r="J35" i="19"/>
  <c r="J16" i="17"/>
  <c r="J37" i="17"/>
  <c r="I16" i="17"/>
  <c r="I39" i="17"/>
  <c r="I37" i="17"/>
  <c r="B16" i="17"/>
  <c r="B37" i="17"/>
  <c r="B39" i="17"/>
  <c r="K32" i="17"/>
  <c r="K14" i="17"/>
  <c r="D15" i="15"/>
  <c r="D37" i="15"/>
  <c r="D35" i="15"/>
  <c r="E15" i="15"/>
  <c r="E35" i="15"/>
  <c r="F15" i="15"/>
  <c r="F35" i="15"/>
  <c r="F37" i="15"/>
  <c r="G15" i="15"/>
  <c r="G35" i="15"/>
  <c r="G37" i="15"/>
  <c r="C17" i="15"/>
  <c r="K17" i="15"/>
  <c r="C18" i="15"/>
  <c r="C19" i="15"/>
  <c r="C20" i="15"/>
  <c r="C21" i="15"/>
  <c r="K21" i="15"/>
  <c r="C22" i="15"/>
  <c r="K22" i="15"/>
  <c r="C23" i="15"/>
  <c r="K23" i="15"/>
  <c r="C24" i="15"/>
  <c r="K24" i="15"/>
  <c r="C25" i="15"/>
  <c r="K25" i="15"/>
  <c r="C26" i="15"/>
  <c r="C27" i="15"/>
  <c r="K27" i="15"/>
  <c r="C28" i="15"/>
  <c r="C29" i="15"/>
  <c r="K29" i="15"/>
  <c r="C30" i="15"/>
  <c r="K30" i="15"/>
  <c r="C31" i="15"/>
  <c r="K31" i="15"/>
  <c r="C32" i="15"/>
  <c r="C33" i="15"/>
  <c r="K33" i="15"/>
  <c r="C34" i="15"/>
  <c r="C10" i="15"/>
  <c r="C11" i="15"/>
  <c r="K11" i="15"/>
  <c r="C12" i="15"/>
  <c r="K12" i="15"/>
  <c r="C13" i="15"/>
  <c r="K13" i="15"/>
  <c r="C14" i="15"/>
  <c r="C15" i="15"/>
  <c r="J15" i="15"/>
  <c r="K15" i="15"/>
  <c r="I15" i="15"/>
  <c r="I37" i="15"/>
  <c r="J35" i="15"/>
  <c r="I35" i="15"/>
  <c r="B15" i="15"/>
  <c r="B37" i="15"/>
  <c r="B35" i="15"/>
  <c r="K34" i="15"/>
  <c r="K32" i="15"/>
  <c r="K28" i="15"/>
  <c r="K26" i="15"/>
  <c r="K20" i="15"/>
  <c r="K18" i="15"/>
  <c r="K14" i="15"/>
  <c r="K10" i="15"/>
  <c r="J15" i="14"/>
  <c r="I15" i="14"/>
  <c r="J35" i="14"/>
  <c r="I35" i="14"/>
  <c r="B15" i="14"/>
  <c r="B35" i="14"/>
  <c r="B37" i="14"/>
  <c r="K34" i="14"/>
  <c r="K33" i="14"/>
  <c r="K31" i="14"/>
  <c r="K30" i="14"/>
  <c r="K27" i="14"/>
  <c r="K25" i="14"/>
  <c r="K21" i="14"/>
  <c r="K19" i="14"/>
  <c r="K18" i="14"/>
  <c r="K17" i="14"/>
  <c r="K12" i="14"/>
  <c r="K11" i="14"/>
  <c r="D15" i="13"/>
  <c r="D35" i="13"/>
  <c r="D37" i="13"/>
  <c r="E15" i="13"/>
  <c r="E37" i="13"/>
  <c r="E35" i="13"/>
  <c r="F15" i="13"/>
  <c r="F37" i="13"/>
  <c r="F35" i="13"/>
  <c r="G15" i="13"/>
  <c r="G35" i="13"/>
  <c r="G37" i="13"/>
  <c r="C37" i="13"/>
  <c r="C10" i="13"/>
  <c r="K10" i="13"/>
  <c r="C11" i="13"/>
  <c r="C12" i="13"/>
  <c r="C13" i="13"/>
  <c r="C14" i="13"/>
  <c r="K14" i="13"/>
  <c r="J15" i="13"/>
  <c r="I15" i="13"/>
  <c r="J35" i="13"/>
  <c r="I35" i="13"/>
  <c r="B15" i="13"/>
  <c r="B35" i="13"/>
  <c r="B37" i="13"/>
  <c r="K29" i="13"/>
  <c r="K27" i="13"/>
  <c r="K25" i="13"/>
  <c r="K23" i="13"/>
  <c r="K21" i="13"/>
  <c r="K19" i="13"/>
  <c r="K17" i="13"/>
  <c r="K13" i="13"/>
  <c r="K12" i="13"/>
  <c r="J15" i="12"/>
  <c r="I15" i="12"/>
  <c r="I37" i="12"/>
  <c r="J35" i="12"/>
  <c r="I35" i="12"/>
  <c r="B15" i="12"/>
  <c r="B37" i="12"/>
  <c r="B35" i="12"/>
  <c r="K33" i="12"/>
  <c r="K32" i="12"/>
  <c r="K31" i="12"/>
  <c r="K29" i="12"/>
  <c r="K28" i="12"/>
  <c r="K27" i="12"/>
  <c r="K25" i="12"/>
  <c r="K24" i="12"/>
  <c r="K23" i="12"/>
  <c r="K21" i="12"/>
  <c r="K20" i="12"/>
  <c r="K19" i="12"/>
  <c r="K17" i="12"/>
  <c r="K14" i="12"/>
  <c r="K12" i="12"/>
  <c r="K11" i="12"/>
  <c r="K10" i="12"/>
  <c r="D15" i="11"/>
  <c r="D35" i="11"/>
  <c r="D37" i="11"/>
  <c r="C37" i="11"/>
  <c r="E15" i="11"/>
  <c r="E35" i="11"/>
  <c r="E37" i="11"/>
  <c r="F15" i="11"/>
  <c r="F37" i="11"/>
  <c r="F35" i="11"/>
  <c r="G15" i="11"/>
  <c r="G37" i="11"/>
  <c r="G35" i="11"/>
  <c r="C17" i="11"/>
  <c r="C18" i="11"/>
  <c r="C19" i="11"/>
  <c r="K19" i="11"/>
  <c r="C20" i="11"/>
  <c r="K20" i="11"/>
  <c r="C21" i="11"/>
  <c r="K21" i="11"/>
  <c r="C22" i="11"/>
  <c r="K22" i="11"/>
  <c r="C23" i="11"/>
  <c r="K23" i="11"/>
  <c r="C24" i="11"/>
  <c r="K24" i="11"/>
  <c r="C25" i="11"/>
  <c r="K25" i="11"/>
  <c r="C26" i="11"/>
  <c r="K26" i="11"/>
  <c r="C27" i="11"/>
  <c r="K27" i="11"/>
  <c r="C28" i="11"/>
  <c r="K28" i="11"/>
  <c r="C29" i="11"/>
  <c r="K29" i="11"/>
  <c r="C30" i="11"/>
  <c r="K30" i="11"/>
  <c r="C31" i="11"/>
  <c r="K31" i="11"/>
  <c r="C32" i="11"/>
  <c r="C33" i="11"/>
  <c r="K33" i="11"/>
  <c r="C34" i="11"/>
  <c r="C10" i="11"/>
  <c r="C15" i="11"/>
  <c r="C11" i="11"/>
  <c r="C12" i="11"/>
  <c r="C13" i="11"/>
  <c r="K13" i="11"/>
  <c r="C14" i="11"/>
  <c r="K14" i="11"/>
  <c r="J15" i="11"/>
  <c r="I15" i="11"/>
  <c r="J35" i="11"/>
  <c r="I35" i="11"/>
  <c r="B15" i="11"/>
  <c r="B35" i="11"/>
  <c r="B37" i="11"/>
  <c r="K34" i="11"/>
  <c r="K32" i="11"/>
  <c r="K18" i="11"/>
  <c r="K12" i="11"/>
  <c r="K11" i="11"/>
  <c r="D15" i="10"/>
  <c r="D37" i="10"/>
  <c r="D35" i="10"/>
  <c r="E15" i="10"/>
  <c r="E37" i="10"/>
  <c r="E35" i="10"/>
  <c r="F15" i="10"/>
  <c r="F37" i="10"/>
  <c r="F35" i="10"/>
  <c r="G15" i="10"/>
  <c r="G37" i="10"/>
  <c r="G35" i="10"/>
  <c r="C17" i="10"/>
  <c r="C18" i="10"/>
  <c r="C19" i="10"/>
  <c r="K19" i="10"/>
  <c r="C20" i="10"/>
  <c r="K20" i="10"/>
  <c r="C21" i="10"/>
  <c r="K21" i="10"/>
  <c r="C22" i="10"/>
  <c r="K22" i="10"/>
  <c r="C23" i="10"/>
  <c r="K23" i="10"/>
  <c r="C24" i="10"/>
  <c r="K24" i="10"/>
  <c r="C25" i="10"/>
  <c r="C26" i="10"/>
  <c r="K26" i="10"/>
  <c r="C27" i="10"/>
  <c r="K27" i="10"/>
  <c r="C28" i="10"/>
  <c r="K28" i="10"/>
  <c r="C29" i="10"/>
  <c r="K29" i="10"/>
  <c r="C30" i="10"/>
  <c r="K30" i="10"/>
  <c r="C31" i="10"/>
  <c r="K31" i="10"/>
  <c r="C32" i="10"/>
  <c r="K32" i="10"/>
  <c r="C33" i="10"/>
  <c r="K33" i="10"/>
  <c r="C34" i="10"/>
  <c r="K34" i="10"/>
  <c r="C10" i="10"/>
  <c r="K10" i="10"/>
  <c r="C11" i="10"/>
  <c r="K11" i="10"/>
  <c r="C12" i="10"/>
  <c r="K12" i="10"/>
  <c r="C13" i="10"/>
  <c r="K13" i="10"/>
  <c r="C14" i="10"/>
  <c r="J15" i="10"/>
  <c r="J35" i="10"/>
  <c r="J37" i="10"/>
  <c r="I15" i="10"/>
  <c r="I35" i="10"/>
  <c r="I37" i="10"/>
  <c r="B15" i="10"/>
  <c r="B37" i="10"/>
  <c r="B35" i="10"/>
  <c r="K25" i="10"/>
  <c r="K17" i="10"/>
  <c r="K14" i="10"/>
  <c r="D15" i="9"/>
  <c r="D35" i="9"/>
  <c r="D37" i="9"/>
  <c r="E15" i="9"/>
  <c r="E37" i="9"/>
  <c r="E35" i="9"/>
  <c r="F15" i="9"/>
  <c r="F37" i="9"/>
  <c r="F35" i="9"/>
  <c r="G15" i="9"/>
  <c r="G35" i="9"/>
  <c r="G37" i="9"/>
  <c r="C34" i="9"/>
  <c r="C33" i="9"/>
  <c r="K33" i="9"/>
  <c r="C32" i="9"/>
  <c r="K32" i="9"/>
  <c r="C31" i="9"/>
  <c r="K31" i="9"/>
  <c r="C30" i="9"/>
  <c r="K30" i="9"/>
  <c r="C29" i="9"/>
  <c r="K29" i="9"/>
  <c r="C28" i="9"/>
  <c r="K28" i="9"/>
  <c r="C27" i="9"/>
  <c r="K27" i="9"/>
  <c r="C26" i="9"/>
  <c r="K26" i="9"/>
  <c r="C25" i="9"/>
  <c r="K25" i="9"/>
  <c r="C24" i="9"/>
  <c r="C23" i="9"/>
  <c r="K23" i="9"/>
  <c r="C22" i="9"/>
  <c r="K22" i="9"/>
  <c r="C21" i="9"/>
  <c r="K21" i="9"/>
  <c r="C20" i="9"/>
  <c r="C19" i="9"/>
  <c r="K19" i="9"/>
  <c r="C18" i="9"/>
  <c r="K18" i="9"/>
  <c r="C17" i="9"/>
  <c r="K17" i="9"/>
  <c r="C10" i="9"/>
  <c r="C11" i="9"/>
  <c r="K11" i="9"/>
  <c r="C12" i="9"/>
  <c r="C13" i="9"/>
  <c r="K13" i="9"/>
  <c r="C14" i="9"/>
  <c r="J15" i="9"/>
  <c r="J37" i="9"/>
  <c r="J35" i="9"/>
  <c r="I15" i="9"/>
  <c r="I35" i="9"/>
  <c r="I37" i="9"/>
  <c r="B15" i="9"/>
  <c r="B35" i="9"/>
  <c r="B37" i="9"/>
  <c r="K34" i="9"/>
  <c r="K24" i="9"/>
  <c r="K20" i="9"/>
  <c r="K14" i="9"/>
  <c r="K12" i="9"/>
  <c r="K10" i="9"/>
  <c r="D15" i="8"/>
  <c r="D35" i="8"/>
  <c r="D37" i="8"/>
  <c r="E15" i="8"/>
  <c r="E35" i="8"/>
  <c r="E37" i="8"/>
  <c r="F15" i="8"/>
  <c r="F37" i="8"/>
  <c r="F35" i="8"/>
  <c r="G15" i="8"/>
  <c r="G35" i="8"/>
  <c r="C34" i="8"/>
  <c r="C33" i="8"/>
  <c r="C32" i="8"/>
  <c r="C31" i="8"/>
  <c r="C30" i="8"/>
  <c r="C29" i="8"/>
  <c r="C28" i="8"/>
  <c r="C27" i="8"/>
  <c r="C26" i="8"/>
  <c r="C25" i="8"/>
  <c r="C24" i="8"/>
  <c r="C23" i="8"/>
  <c r="C22" i="8"/>
  <c r="C21" i="8"/>
  <c r="C20" i="8"/>
  <c r="C19" i="8"/>
  <c r="C18" i="8"/>
  <c r="C17" i="8"/>
  <c r="C11" i="8"/>
  <c r="K11" i="8"/>
  <c r="C12" i="8"/>
  <c r="K12" i="8"/>
  <c r="C13" i="8"/>
  <c r="K13" i="8"/>
  <c r="C14" i="8"/>
  <c r="J15" i="8"/>
  <c r="J35" i="8"/>
  <c r="I15" i="8"/>
  <c r="I37" i="8"/>
  <c r="I35" i="8"/>
  <c r="B15" i="8"/>
  <c r="B35" i="8"/>
  <c r="K34" i="8"/>
  <c r="K33" i="8"/>
  <c r="K32" i="8"/>
  <c r="K31" i="8"/>
  <c r="K30" i="8"/>
  <c r="K29" i="8"/>
  <c r="K28" i="8"/>
  <c r="K27" i="8"/>
  <c r="K26" i="8"/>
  <c r="K25" i="8"/>
  <c r="K24" i="8"/>
  <c r="K23" i="8"/>
  <c r="K22" i="8"/>
  <c r="K21" i="8"/>
  <c r="K20" i="8"/>
  <c r="K19" i="8"/>
  <c r="K18" i="8"/>
  <c r="K17" i="8"/>
  <c r="K14" i="8"/>
  <c r="K10" i="8"/>
  <c r="D15" i="7"/>
  <c r="D35" i="7"/>
  <c r="E15" i="7"/>
  <c r="E35" i="7"/>
  <c r="E37" i="7"/>
  <c r="F15" i="7"/>
  <c r="F35" i="7"/>
  <c r="G15" i="7"/>
  <c r="G35" i="7"/>
  <c r="C34" i="7"/>
  <c r="K34" i="7"/>
  <c r="C33" i="7"/>
  <c r="K33" i="7"/>
  <c r="C32" i="7"/>
  <c r="K32" i="7"/>
  <c r="C31" i="7"/>
  <c r="K31" i="7"/>
  <c r="C30" i="7"/>
  <c r="K30" i="7"/>
  <c r="C29" i="7"/>
  <c r="K29" i="7"/>
  <c r="C28" i="7"/>
  <c r="K28" i="7"/>
  <c r="C27" i="7"/>
  <c r="K27" i="7"/>
  <c r="C26" i="7"/>
  <c r="K26" i="7"/>
  <c r="C25" i="7"/>
  <c r="K25" i="7"/>
  <c r="C24" i="7"/>
  <c r="K24" i="7"/>
  <c r="C23" i="7"/>
  <c r="K23" i="7"/>
  <c r="C22" i="7"/>
  <c r="C21" i="7"/>
  <c r="K21" i="7"/>
  <c r="C20" i="7"/>
  <c r="K20" i="7"/>
  <c r="C19" i="7"/>
  <c r="K19" i="7"/>
  <c r="C18" i="7"/>
  <c r="K18" i="7"/>
  <c r="C17" i="7"/>
  <c r="K17" i="7"/>
  <c r="C10" i="7"/>
  <c r="K10" i="7"/>
  <c r="C11" i="7"/>
  <c r="C15" i="7"/>
  <c r="K15" i="7"/>
  <c r="C12" i="7"/>
  <c r="K12" i="7"/>
  <c r="C13" i="7"/>
  <c r="C14" i="7"/>
  <c r="K14" i="7"/>
  <c r="J35" i="7"/>
  <c r="I15" i="7"/>
  <c r="I35" i="7"/>
  <c r="B15" i="7"/>
  <c r="B35" i="7"/>
  <c r="K22" i="7"/>
  <c r="K13" i="7"/>
  <c r="D15" i="6"/>
  <c r="D37" i="6"/>
  <c r="D35" i="6"/>
  <c r="E15" i="6"/>
  <c r="E35" i="6"/>
  <c r="F15" i="6"/>
  <c r="F37" i="6"/>
  <c r="F35" i="6"/>
  <c r="G15" i="6"/>
  <c r="G37" i="6"/>
  <c r="G35" i="6"/>
  <c r="C34" i="6"/>
  <c r="K34" i="6"/>
  <c r="C33" i="6"/>
  <c r="K33" i="6"/>
  <c r="C32" i="6"/>
  <c r="K32" i="6"/>
  <c r="C31" i="6"/>
  <c r="C30" i="6"/>
  <c r="K30" i="6"/>
  <c r="C29" i="6"/>
  <c r="K29" i="6"/>
  <c r="C28" i="6"/>
  <c r="K28" i="6"/>
  <c r="C27" i="6"/>
  <c r="K27" i="6"/>
  <c r="C26" i="6"/>
  <c r="K26" i="6"/>
  <c r="C25" i="6"/>
  <c r="K25" i="6"/>
  <c r="C24" i="6"/>
  <c r="K24" i="6"/>
  <c r="C23" i="6"/>
  <c r="C22" i="6"/>
  <c r="K22" i="6"/>
  <c r="C21" i="6"/>
  <c r="K21" i="6"/>
  <c r="C20" i="6"/>
  <c r="K20" i="6"/>
  <c r="C19" i="6"/>
  <c r="K19" i="6"/>
  <c r="C18" i="6"/>
  <c r="K18" i="6"/>
  <c r="C17" i="6"/>
  <c r="K17" i="6"/>
  <c r="C10" i="6"/>
  <c r="K10" i="6"/>
  <c r="C11" i="6"/>
  <c r="K11" i="6"/>
  <c r="C12" i="6"/>
  <c r="K12" i="6"/>
  <c r="C13" i="6"/>
  <c r="K13" i="6"/>
  <c r="C14" i="6"/>
  <c r="K14" i="6"/>
  <c r="J15" i="6"/>
  <c r="J37" i="6"/>
  <c r="J35" i="6"/>
  <c r="I15" i="6"/>
  <c r="I37" i="6"/>
  <c r="I35" i="6"/>
  <c r="B15" i="6"/>
  <c r="B35" i="6"/>
  <c r="K31" i="6"/>
  <c r="K23" i="6"/>
  <c r="J15" i="5"/>
  <c r="J35" i="5"/>
  <c r="I15" i="5"/>
  <c r="I35" i="5"/>
  <c r="B15" i="5"/>
  <c r="B37" i="5"/>
  <c r="B35" i="5"/>
  <c r="K31" i="5"/>
  <c r="K29" i="5"/>
  <c r="K21" i="5"/>
  <c r="K19" i="5"/>
  <c r="K14" i="5"/>
  <c r="K12" i="5"/>
  <c r="K10" i="5"/>
  <c r="J15" i="4"/>
  <c r="J35" i="4"/>
  <c r="I15" i="4"/>
  <c r="I35" i="4"/>
  <c r="B15" i="4"/>
  <c r="B35" i="4"/>
  <c r="K34" i="4"/>
  <c r="K32" i="4"/>
  <c r="K31" i="4"/>
  <c r="K27" i="4"/>
  <c r="K26" i="4"/>
  <c r="K24" i="4"/>
  <c r="K22" i="4"/>
  <c r="K20" i="4"/>
  <c r="K18" i="4"/>
  <c r="K14" i="4"/>
  <c r="K13" i="4"/>
  <c r="K10" i="4"/>
  <c r="J15" i="3"/>
  <c r="J37" i="3"/>
  <c r="J35" i="3"/>
  <c r="K35" i="3"/>
  <c r="I15" i="3"/>
  <c r="I37" i="3"/>
  <c r="I35" i="3"/>
  <c r="B15" i="3"/>
  <c r="B37" i="3"/>
  <c r="B35" i="3"/>
  <c r="K32" i="3"/>
  <c r="K31" i="3"/>
  <c r="K29" i="3"/>
  <c r="K28" i="3"/>
  <c r="K27" i="3"/>
  <c r="K25" i="3"/>
  <c r="K24" i="3"/>
  <c r="K21" i="3"/>
  <c r="K20" i="3"/>
  <c r="K19" i="3"/>
  <c r="K13" i="3"/>
  <c r="K12" i="3"/>
  <c r="J37" i="14"/>
  <c r="C35" i="9"/>
  <c r="K35" i="9"/>
  <c r="J37" i="12"/>
  <c r="K28" i="19"/>
  <c r="K26" i="19"/>
  <c r="K18" i="19"/>
  <c r="K32" i="20"/>
  <c r="K30" i="20"/>
  <c r="K28" i="20"/>
  <c r="K24" i="20"/>
  <c r="K22" i="20"/>
  <c r="K20" i="20"/>
  <c r="K18" i="20"/>
  <c r="H10" i="20"/>
  <c r="H35" i="4"/>
  <c r="J39" i="23"/>
  <c r="C37" i="24"/>
  <c r="K37" i="24"/>
  <c r="D39" i="25"/>
  <c r="F39" i="25"/>
  <c r="C37" i="25"/>
  <c r="K37" i="25"/>
  <c r="K18" i="25"/>
  <c r="K10" i="25"/>
  <c r="D39" i="26"/>
  <c r="C39" i="26"/>
  <c r="G39" i="26"/>
  <c r="K18" i="26"/>
  <c r="I22" i="26"/>
  <c r="I29" i="26"/>
  <c r="K35" i="26"/>
  <c r="I11" i="26"/>
  <c r="I13" i="26"/>
  <c r="J39" i="26"/>
  <c r="K39" i="26"/>
  <c r="I26" i="26"/>
  <c r="I31" i="26"/>
  <c r="I33" i="26"/>
  <c r="C37" i="26"/>
  <c r="B39" i="26"/>
  <c r="I10" i="26"/>
  <c r="K10" i="26"/>
  <c r="K12" i="26"/>
  <c r="K20" i="26"/>
  <c r="K24" i="26"/>
  <c r="K28" i="26"/>
  <c r="K32" i="26"/>
  <c r="D39" i="27"/>
  <c r="C39" i="27"/>
  <c r="K21" i="27"/>
  <c r="K34" i="27"/>
  <c r="G39" i="27"/>
  <c r="I20" i="27"/>
  <c r="I24" i="27"/>
  <c r="I28" i="27"/>
  <c r="I32" i="27"/>
  <c r="F39" i="27"/>
  <c r="B39" i="27"/>
  <c r="I12" i="27"/>
  <c r="K11" i="27"/>
  <c r="K19" i="27"/>
  <c r="K23" i="27"/>
  <c r="K27" i="27"/>
  <c r="K31" i="27"/>
  <c r="K35" i="27"/>
  <c r="I13" i="28"/>
  <c r="K33" i="28"/>
  <c r="I25" i="28"/>
  <c r="I17" i="28"/>
  <c r="I21" i="28"/>
  <c r="I23" i="28"/>
  <c r="I28" i="28"/>
  <c r="F35" i="28"/>
  <c r="C15" i="28"/>
  <c r="K15" i="28"/>
  <c r="I31" i="28"/>
  <c r="I10" i="28"/>
  <c r="I15" i="28"/>
  <c r="K10" i="28"/>
  <c r="I18" i="28"/>
  <c r="C15" i="14"/>
  <c r="K18" i="13"/>
  <c r="K17" i="11"/>
  <c r="K10" i="11"/>
  <c r="C35" i="8"/>
  <c r="K12" i="22"/>
  <c r="H21" i="22"/>
  <c r="H25" i="22"/>
  <c r="H10" i="22"/>
  <c r="K30" i="22"/>
  <c r="K18" i="21"/>
  <c r="K11" i="21"/>
  <c r="I39" i="21"/>
  <c r="K30" i="17"/>
  <c r="H23" i="17"/>
  <c r="K31" i="17"/>
  <c r="K26" i="17"/>
  <c r="K34" i="17"/>
  <c r="H12" i="17"/>
  <c r="H14" i="19"/>
  <c r="K24" i="19"/>
  <c r="K32" i="19"/>
  <c r="H22" i="19"/>
  <c r="H30" i="19"/>
  <c r="K10" i="3"/>
  <c r="H18" i="3"/>
  <c r="H22" i="3"/>
  <c r="H26" i="3"/>
  <c r="H30" i="3"/>
  <c r="H34" i="3"/>
  <c r="K12" i="4"/>
  <c r="J37" i="4"/>
  <c r="C35" i="5"/>
  <c r="H35" i="5"/>
  <c r="K13" i="5"/>
  <c r="K18" i="5"/>
  <c r="K22" i="5"/>
  <c r="K26" i="5"/>
  <c r="K30" i="5"/>
  <c r="K34" i="5"/>
  <c r="H20" i="5"/>
  <c r="H24" i="5"/>
  <c r="H28" i="5"/>
  <c r="H32" i="5"/>
  <c r="H11" i="5"/>
  <c r="H10" i="5"/>
  <c r="B37" i="6"/>
  <c r="E37" i="6"/>
  <c r="I19" i="28"/>
  <c r="K32" i="28"/>
  <c r="K11" i="28"/>
  <c r="K30" i="28"/>
  <c r="J35" i="28"/>
  <c r="K24" i="28"/>
  <c r="I12" i="28"/>
  <c r="I29" i="28"/>
  <c r="I14" i="28"/>
  <c r="K16" i="28"/>
  <c r="C35" i="7"/>
  <c r="I37" i="7"/>
  <c r="G37" i="7"/>
  <c r="B37" i="7"/>
  <c r="K35" i="7"/>
  <c r="J37" i="7"/>
  <c r="K35" i="5"/>
  <c r="I27" i="29"/>
  <c r="K30" i="29"/>
  <c r="K12" i="29"/>
  <c r="E34" i="29"/>
  <c r="I17" i="29"/>
  <c r="K18" i="29"/>
  <c r="I25" i="29"/>
  <c r="B34" i="29"/>
  <c r="K9" i="29"/>
  <c r="K19" i="29"/>
  <c r="K23" i="29"/>
  <c r="I9" i="29"/>
  <c r="K10" i="29"/>
  <c r="K16" i="29"/>
  <c r="K20" i="29"/>
  <c r="K24" i="29"/>
  <c r="K28" i="29"/>
  <c r="K32" i="29"/>
  <c r="C14" i="29"/>
  <c r="K13" i="29"/>
  <c r="I29" i="29"/>
  <c r="I31" i="29"/>
  <c r="K21" i="29"/>
  <c r="K15" i="29"/>
  <c r="C33" i="29"/>
  <c r="K33" i="29"/>
  <c r="I14" i="29"/>
  <c r="I34" i="29"/>
  <c r="C37" i="8"/>
  <c r="H26" i="20"/>
  <c r="K26" i="20"/>
  <c r="C37" i="21"/>
  <c r="K17" i="5"/>
  <c r="H17" i="5"/>
  <c r="K33" i="5"/>
  <c r="H33" i="5"/>
  <c r="C15" i="19"/>
  <c r="K10" i="19"/>
  <c r="H10" i="19"/>
  <c r="K25" i="22"/>
  <c r="C37" i="22"/>
  <c r="I11" i="25"/>
  <c r="K11" i="25"/>
  <c r="I20" i="25"/>
  <c r="K20" i="25"/>
  <c r="I28" i="25"/>
  <c r="K28" i="25"/>
  <c r="K37" i="14"/>
  <c r="K11" i="5"/>
  <c r="C15" i="5"/>
  <c r="H15" i="5"/>
  <c r="K26" i="28"/>
  <c r="I26" i="28"/>
  <c r="I26" i="29"/>
  <c r="I33" i="29"/>
  <c r="K26" i="29"/>
  <c r="C15" i="6"/>
  <c r="K15" i="6"/>
  <c r="J37" i="5"/>
  <c r="K35" i="8"/>
  <c r="J37" i="8"/>
  <c r="K37" i="8"/>
  <c r="I37" i="14"/>
  <c r="J39" i="21"/>
  <c r="K16" i="21"/>
  <c r="H21" i="4"/>
  <c r="K21" i="4"/>
  <c r="H28" i="4"/>
  <c r="K28" i="4"/>
  <c r="F37" i="3"/>
  <c r="C37" i="3"/>
  <c r="K25" i="17"/>
  <c r="H25" i="17"/>
  <c r="I16" i="25"/>
  <c r="K25" i="26"/>
  <c r="I25" i="26"/>
  <c r="K30" i="26"/>
  <c r="I30" i="26"/>
  <c r="K37" i="26"/>
  <c r="I13" i="27"/>
  <c r="K13" i="27"/>
  <c r="C16" i="27"/>
  <c r="K16" i="27"/>
  <c r="I18" i="27"/>
  <c r="K18" i="27"/>
  <c r="K22" i="27"/>
  <c r="I22" i="27"/>
  <c r="I26" i="27"/>
  <c r="K26" i="27"/>
  <c r="K33" i="27"/>
  <c r="J37" i="11"/>
  <c r="K37" i="11"/>
  <c r="K15" i="11"/>
  <c r="C35" i="15"/>
  <c r="K35" i="15"/>
  <c r="K25" i="5"/>
  <c r="H25" i="5"/>
  <c r="K17" i="4"/>
  <c r="H17" i="4"/>
  <c r="H14" i="22"/>
  <c r="K14" i="22"/>
  <c r="C16" i="22"/>
  <c r="H32" i="22"/>
  <c r="K32" i="22"/>
  <c r="K10" i="23"/>
  <c r="C16" i="23"/>
  <c r="K16" i="23"/>
  <c r="H39" i="25"/>
  <c r="K39" i="25"/>
  <c r="I24" i="25"/>
  <c r="K24" i="25"/>
  <c r="I32" i="25"/>
  <c r="K32" i="25"/>
  <c r="K39" i="23"/>
  <c r="K15" i="4"/>
  <c r="C35" i="10"/>
  <c r="K35" i="10"/>
  <c r="K18" i="10"/>
  <c r="J39" i="17"/>
  <c r="K31" i="20"/>
  <c r="H31" i="20"/>
  <c r="K37" i="21"/>
  <c r="K23" i="5"/>
  <c r="H23" i="5"/>
  <c r="K23" i="4"/>
  <c r="H23" i="4"/>
  <c r="K22" i="28"/>
  <c r="I22" i="28"/>
  <c r="I34" i="28"/>
  <c r="I35" i="28"/>
  <c r="C37" i="27"/>
  <c r="K37" i="27"/>
  <c r="K14" i="29"/>
  <c r="K22" i="29"/>
  <c r="C15" i="10"/>
  <c r="K15" i="10"/>
  <c r="I16" i="26"/>
  <c r="I37" i="4"/>
  <c r="C37" i="6"/>
  <c r="K37" i="6"/>
  <c r="K11" i="7"/>
  <c r="B37" i="8"/>
  <c r="K37" i="9"/>
  <c r="C37" i="10"/>
  <c r="K37" i="10"/>
  <c r="K35" i="12"/>
  <c r="K35" i="13"/>
  <c r="K15" i="14"/>
  <c r="K19" i="15"/>
  <c r="B39" i="21"/>
  <c r="H27" i="5"/>
  <c r="K27" i="5"/>
  <c r="H19" i="4"/>
  <c r="K19" i="4"/>
  <c r="C37" i="19"/>
  <c r="H11" i="17"/>
  <c r="C16" i="17"/>
  <c r="H16" i="17"/>
  <c r="K27" i="17"/>
  <c r="H27" i="17"/>
  <c r="C16" i="25"/>
  <c r="K16" i="25"/>
  <c r="K14" i="25"/>
  <c r="I14" i="25"/>
  <c r="K19" i="25"/>
  <c r="I19" i="25"/>
  <c r="K27" i="25"/>
  <c r="I27" i="25"/>
  <c r="K31" i="25"/>
  <c r="I31" i="25"/>
  <c r="K35" i="25"/>
  <c r="I35" i="25"/>
  <c r="B37" i="4"/>
  <c r="C35" i="6"/>
  <c r="K35" i="6"/>
  <c r="F37" i="7"/>
  <c r="D37" i="7"/>
  <c r="C15" i="9"/>
  <c r="K15" i="9"/>
  <c r="C37" i="9"/>
  <c r="I37" i="11"/>
  <c r="C35" i="11"/>
  <c r="K35" i="11"/>
  <c r="J37" i="13"/>
  <c r="K37" i="13"/>
  <c r="K11" i="13"/>
  <c r="C15" i="13"/>
  <c r="K15" i="13"/>
  <c r="E37" i="15"/>
  <c r="C37" i="15"/>
  <c r="K23" i="20"/>
  <c r="H23" i="20"/>
  <c r="C37" i="20"/>
  <c r="F39" i="21"/>
  <c r="C39" i="21"/>
  <c r="F37" i="5"/>
  <c r="C37" i="5"/>
  <c r="H37" i="5"/>
  <c r="H11" i="4"/>
  <c r="K11" i="4"/>
  <c r="K33" i="4"/>
  <c r="H33" i="4"/>
  <c r="G37" i="4"/>
  <c r="C37" i="4"/>
  <c r="C37" i="17"/>
  <c r="K18" i="17"/>
  <c r="H18" i="17"/>
  <c r="C35" i="12"/>
  <c r="K18" i="12"/>
  <c r="K33" i="22"/>
  <c r="H33" i="22"/>
  <c r="H26" i="22"/>
  <c r="K26" i="22"/>
  <c r="K21" i="28"/>
  <c r="C34" i="28"/>
  <c r="K34" i="28"/>
  <c r="I37" i="5"/>
  <c r="G37" i="8"/>
  <c r="I37" i="13"/>
  <c r="E39" i="20"/>
  <c r="C39" i="20"/>
  <c r="H14" i="20"/>
  <c r="K14" i="20"/>
  <c r="C16" i="20"/>
  <c r="K11" i="20"/>
  <c r="G39" i="21"/>
  <c r="H11" i="3"/>
  <c r="K11" i="3"/>
  <c r="C15" i="3"/>
  <c r="C35" i="19"/>
  <c r="G37" i="12"/>
  <c r="C37" i="12"/>
  <c r="K37" i="12"/>
  <c r="C15" i="8"/>
  <c r="K15" i="8"/>
  <c r="K37" i="23"/>
  <c r="G39" i="24"/>
  <c r="C39" i="24"/>
  <c r="K39" i="24"/>
  <c r="C16" i="26"/>
  <c r="K16" i="26"/>
  <c r="I21" i="26"/>
  <c r="I37" i="26"/>
  <c r="K21" i="26"/>
  <c r="K10" i="27"/>
  <c r="I10" i="27"/>
  <c r="I14" i="27"/>
  <c r="K14" i="27"/>
  <c r="I29" i="27"/>
  <c r="K29" i="27"/>
  <c r="K15" i="12"/>
  <c r="G39" i="17"/>
  <c r="C39" i="17"/>
  <c r="H39" i="17"/>
  <c r="C35" i="14"/>
  <c r="K35" i="14"/>
  <c r="K31" i="22"/>
  <c r="H31" i="22"/>
  <c r="E39" i="23"/>
  <c r="C39" i="23"/>
  <c r="I29" i="25"/>
  <c r="I21" i="25"/>
  <c r="K27" i="28"/>
  <c r="I27" i="28"/>
  <c r="J37" i="15"/>
  <c r="K24" i="22"/>
  <c r="H34" i="22"/>
  <c r="K34" i="22"/>
  <c r="G39" i="22"/>
  <c r="C39" i="22"/>
  <c r="C16" i="24"/>
  <c r="K16" i="24"/>
  <c r="K10" i="24"/>
  <c r="I13" i="25"/>
  <c r="K13" i="25"/>
  <c r="K22" i="25"/>
  <c r="I22" i="25"/>
  <c r="K26" i="25"/>
  <c r="I26" i="25"/>
  <c r="K30" i="25"/>
  <c r="I30" i="25"/>
  <c r="K34" i="25"/>
  <c r="I34" i="25"/>
  <c r="J39" i="27"/>
  <c r="K39" i="27"/>
  <c r="K30" i="27"/>
  <c r="I30" i="27"/>
  <c r="K11" i="29"/>
  <c r="I11" i="29"/>
  <c r="F34" i="29"/>
  <c r="C34" i="29"/>
  <c r="K34" i="29"/>
  <c r="K37" i="3"/>
  <c r="H37" i="3"/>
  <c r="K39" i="20"/>
  <c r="H39" i="20"/>
  <c r="H37" i="4"/>
  <c r="K37" i="4"/>
  <c r="H39" i="22"/>
  <c r="K39" i="22"/>
  <c r="K37" i="15"/>
  <c r="K35" i="19"/>
  <c r="H35" i="19"/>
  <c r="H37" i="17"/>
  <c r="K37" i="17"/>
  <c r="K37" i="19"/>
  <c r="H37" i="19"/>
  <c r="K15" i="3"/>
  <c r="H15" i="3"/>
  <c r="H37" i="20"/>
  <c r="K37" i="20"/>
  <c r="C37" i="7"/>
  <c r="K37" i="7"/>
  <c r="K16" i="17"/>
  <c r="H16" i="22"/>
  <c r="K16" i="22"/>
  <c r="K16" i="20"/>
  <c r="H16" i="20"/>
  <c r="K39" i="17"/>
  <c r="I37" i="27"/>
  <c r="K39" i="21"/>
  <c r="K37" i="5"/>
  <c r="K37" i="22"/>
  <c r="H37" i="22"/>
  <c r="H15" i="19"/>
  <c r="K15" i="19"/>
  <c r="I16" i="27"/>
  <c r="I39" i="27"/>
  <c r="I37" i="25"/>
  <c r="I39" i="25"/>
  <c r="I39" i="26"/>
  <c r="K15" i="5"/>
  <c r="I15" i="30"/>
  <c r="I19" i="30"/>
  <c r="I23" i="30"/>
  <c r="I27" i="30"/>
  <c r="I31" i="30"/>
  <c r="I22" i="30"/>
  <c r="I26" i="30"/>
  <c r="D34" i="30"/>
  <c r="I17" i="30"/>
  <c r="I21" i="30"/>
  <c r="I25" i="30"/>
  <c r="I29" i="30"/>
  <c r="C33" i="30"/>
  <c r="K33" i="30"/>
  <c r="I24" i="30"/>
  <c r="I28" i="30"/>
  <c r="C34" i="30"/>
  <c r="K34" i="30"/>
  <c r="I14" i="30"/>
  <c r="I34" i="30"/>
  <c r="C14" i="30"/>
  <c r="K14" i="30"/>
  <c r="I13" i="30"/>
  <c r="I11" i="30"/>
  <c r="K9" i="30"/>
  <c r="K29" i="31"/>
  <c r="B34" i="31"/>
  <c r="C33" i="31"/>
  <c r="K33" i="31"/>
  <c r="K17" i="31"/>
  <c r="I33" i="31"/>
  <c r="F34" i="31"/>
  <c r="G34" i="31"/>
  <c r="D34" i="31"/>
  <c r="E34" i="31"/>
  <c r="K13" i="31"/>
  <c r="C14" i="31"/>
  <c r="K14" i="31"/>
  <c r="C34" i="31"/>
  <c r="K34" i="31"/>
  <c r="I14" i="31"/>
  <c r="I34" i="31"/>
</calcChain>
</file>

<file path=xl/sharedStrings.xml><?xml version="1.0" encoding="utf-8"?>
<sst xmlns="http://schemas.openxmlformats.org/spreadsheetml/2006/main" count="1358" uniqueCount="109">
  <si>
    <t>und Stadtbezirken</t>
  </si>
  <si>
    <t>Darunter  Familien mit Kindern unter 18 Jahren</t>
  </si>
  <si>
    <t>Stadtbezirk</t>
  </si>
  <si>
    <t>insgesamt</t>
  </si>
  <si>
    <t>davon mit ... Kindern</t>
  </si>
  <si>
    <t>Kinder je</t>
  </si>
  <si>
    <t>Paare</t>
  </si>
  <si>
    <t>Alleinerziehende</t>
  </si>
  <si>
    <t>4 o.m.</t>
  </si>
  <si>
    <t>Familie</t>
  </si>
  <si>
    <t>Zahl</t>
  </si>
  <si>
    <t>% von Sp. 2</t>
  </si>
  <si>
    <t xml:space="preserve">Mitte </t>
  </si>
  <si>
    <t>Nord</t>
  </si>
  <si>
    <t>Ost</t>
  </si>
  <si>
    <t>Süd</t>
  </si>
  <si>
    <t>West</t>
  </si>
  <si>
    <t>Inneres Stadtgebiet</t>
  </si>
  <si>
    <t>Bad Cannstatt</t>
  </si>
  <si>
    <t xml:space="preserve">Birkach </t>
  </si>
  <si>
    <t>Botnang</t>
  </si>
  <si>
    <t>Degerloch</t>
  </si>
  <si>
    <t>Feuerbach</t>
  </si>
  <si>
    <t>Hedelfingen</t>
  </si>
  <si>
    <t>Möhringen</t>
  </si>
  <si>
    <t>Mühlhausen</t>
  </si>
  <si>
    <t>Münster</t>
  </si>
  <si>
    <t>Obertürkheim</t>
  </si>
  <si>
    <t>Plieningen</t>
  </si>
  <si>
    <t>Sillenbuch</t>
  </si>
  <si>
    <t>Stammheim</t>
  </si>
  <si>
    <t>Untertürkheim</t>
  </si>
  <si>
    <t>Vaihingen</t>
  </si>
  <si>
    <t>Wangen</t>
  </si>
  <si>
    <t>Weilimdorf</t>
  </si>
  <si>
    <t>Zuffenhausen</t>
  </si>
  <si>
    <t>Äußeres Stadtgebiet</t>
  </si>
  <si>
    <t>Stuttgart</t>
  </si>
  <si>
    <t>_______________</t>
  </si>
  <si>
    <t>Erläuterungen:</t>
  </si>
  <si>
    <t>der Kinder sowie der Zahl der Erziehungsberechtigten (Paare/Alleinerziehende)</t>
  </si>
  <si>
    <t>dargestellt.</t>
  </si>
  <si>
    <t>Periodizität:</t>
  </si>
  <si>
    <t xml:space="preserve">Die Statistik wird jährlich zum 31.12. erstellt und steht ab 28.02. des Folgejahres </t>
  </si>
  <si>
    <t xml:space="preserve">zur Verfügung. </t>
  </si>
  <si>
    <t>Rechtsgrundlage:</t>
  </si>
  <si>
    <t>- Satzung über die regelmäßige Weitergabe von Daten an die kommunale Statistik-</t>
  </si>
  <si>
    <t xml:space="preserve">  stelle aus dem Geschäftsgang anderer Verwaltungsstellen der Landeshauptstadt </t>
  </si>
  <si>
    <t>Gliederungstiefe:</t>
  </si>
  <si>
    <t>Quelle:</t>
  </si>
  <si>
    <t xml:space="preserve"> Kommunales Melderegister, Amt für öffentliche Ordnung</t>
  </si>
  <si>
    <t>Die räumliche Gliederung umfasst die Stadtbezirke.</t>
  </si>
  <si>
    <t>Tabelle Nr. 4698</t>
  </si>
  <si>
    <t>Privathaushalte, Familien mit Kindern in Stuttgart am 31. Dezember 2004 nach der Zahl der Kinder</t>
  </si>
  <si>
    <t>Privathaushalte, Familien mit Kindern in Stuttgart am 31. Dezember 2003 nach der Zahl der Kinder</t>
  </si>
  <si>
    <r>
      <t>1)</t>
    </r>
    <r>
      <rPr>
        <sz val="8"/>
        <rFont val="Arial"/>
        <family val="2"/>
      </rPr>
      <t xml:space="preserve">  Ergebnisse der Haushaltegenerierung.</t>
    </r>
  </si>
  <si>
    <t>Privathaushalte, Familien mit Kindern in Stuttgart am 31. Dezember 2002 nach der Zahl der Kinder</t>
  </si>
  <si>
    <t>Privathaushalte, Familien mit Kindern in Stuttgart am 31. Dezember 2001 nach der Zahl der Kinder</t>
  </si>
  <si>
    <t>Privathaushalte, Familien mit Kindern in Stuttgart am 31. Dezember 2000 nach der Zahl der Kinder</t>
  </si>
  <si>
    <t>Privathaushalte, Familien mit Kindern in Stuttgart am 31. Dezember 1999 nach der Zahl der Kinder</t>
  </si>
  <si>
    <t>Privathaushalte, Familien mit Kindern in Stuttgart am 31. Dezember 1998 nach der Zahl der Kinder</t>
  </si>
  <si>
    <t>Privathaushalte, Familien mit Kindern in Stuttgart am 31. Dezember 1997 nach der Zahl der Kinder</t>
  </si>
  <si>
    <t>Privathaushalte, Familien mit Kindern in Stuttgart am 31. Dezember 1996 nach der Zahl der Kinder</t>
  </si>
  <si>
    <t>Privathaushalte, Familien mit Kindern in Stuttgart am 31. Dezember 1995 nach der Zahl der Kinder</t>
  </si>
  <si>
    <t>Privathaushalte, Familien mit Kindern in Stuttgart am 31. Dezember 1994 nach der Zahl der Kinder</t>
  </si>
  <si>
    <t>Privathaushalte, Familien mit Kindern in Stuttgart am 31. Dezember 1993 nach der Zahl der Kinder</t>
  </si>
  <si>
    <t>Privathaushalte, Familien mit Kindern in Stuttgart am 31. Dezember 1992 nach der Zahl der Kinder</t>
  </si>
  <si>
    <t>Nachgewiesen werden Haushalte, die mit einem überregional eingesetzten mathematisch-</t>
  </si>
  <si>
    <t>statistischen Verfahren (HHGen) auf Adressebene aus Einzelpersonen zusam-</t>
  </si>
  <si>
    <t xml:space="preserve">mengeführt werden. Bei der Generierung der Privathaushalte werden Personen in Anstalten </t>
  </si>
  <si>
    <t xml:space="preserve">(= Personen ohne eigene Haushaltsführung) ausgeschlossen. </t>
  </si>
  <si>
    <t>Privathaushalte, Familien mit Kindern in Stuttgart seit 1992 nach der Zahl der Kinder</t>
  </si>
  <si>
    <r>
      <t>Als Darunter-Information werden Familien</t>
    </r>
    <r>
      <rPr>
        <b/>
        <sz val="10"/>
        <rFont val="Arial"/>
        <family val="2"/>
      </rPr>
      <t xml:space="preserve"> mit Kindern unter 18 Jahren</t>
    </r>
    <r>
      <rPr>
        <sz val="10"/>
        <rFont val="Arial"/>
        <family val="2"/>
      </rPr>
      <t xml:space="preserve"> nach der Zahl</t>
    </r>
  </si>
  <si>
    <t xml:space="preserve"> Erläuterungsblatt zu Tabelle Nr. 4698</t>
  </si>
  <si>
    <t>Darunter Familien mit Kindern unter 18 Jahren</t>
  </si>
  <si>
    <t>Kinder je      Familie</t>
  </si>
  <si>
    <t xml:space="preserve">                            </t>
  </si>
  <si>
    <t>Tabelle Nr. 4698 - Jahrbuchtabelle</t>
  </si>
  <si>
    <t xml:space="preserve">         und Stadtbezirken</t>
  </si>
  <si>
    <t xml:space="preserve">        und Stadtbezirken</t>
  </si>
  <si>
    <t>Tabelle Nr. 4698 - Jahrbuchtabelle (CD)</t>
  </si>
  <si>
    <t xml:space="preserve">2.3.6 Privathaushalte, Familien mit Kindern in Stuttgart am 31.12.2005 nach der Zahl der Kinder </t>
  </si>
  <si>
    <t xml:space="preserve">2.3.6 Haushalte, Familien mit Kindern in Stuttgart am 31.12.2006 nach der Zahl der Kinder </t>
  </si>
  <si>
    <t xml:space="preserve">2.3.6 Haushalte, Familien mit Kindern in Stuttgart am 31.12.2007 nach der Zahl der Kinder </t>
  </si>
  <si>
    <t xml:space="preserve">2.3.6 Haushalte, Familien mit Kindern in Stuttgart am 31.12.2008 nach der Zahl der Kinder </t>
  </si>
  <si>
    <t xml:space="preserve">2.3.6 Haushalte, Familien mit Kindern in Stuttgart am 31.12.2009 nach der Zahl der Kinder </t>
  </si>
  <si>
    <r>
      <t>Haushalte</t>
    </r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insgesamt</t>
    </r>
  </si>
  <si>
    <r>
      <t>Haushalte</t>
    </r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insgesamt </t>
    </r>
  </si>
  <si>
    <t xml:space="preserve">2.3.6 Haushalte, Familien mit Kindern in Stuttgart am 31.12.2010 nach der Zahl der Kinder </t>
  </si>
  <si>
    <t xml:space="preserve">2.3.6 Haushalte, Familien mit Kindern in Stuttgart am 31.12.2011 nach der Zahl der Kinder </t>
  </si>
  <si>
    <r>
      <t>Haushalte</t>
    </r>
    <r>
      <rPr>
        <vertAlign val="superscript"/>
        <sz val="8"/>
        <rFont val="Arial"/>
        <family val="2"/>
      </rPr>
      <t>1)</t>
    </r>
    <r>
      <rPr>
        <sz val="8"/>
        <rFont val="Arial"/>
        <family val="2"/>
      </rPr>
      <t xml:space="preserve"> insgesamt</t>
    </r>
  </si>
  <si>
    <r>
      <t>1)</t>
    </r>
    <r>
      <rPr>
        <sz val="8"/>
        <rFont val="Arial"/>
        <family val="2"/>
      </rPr>
      <t xml:space="preserve">  Ergebnisse der Haushaltegenerierung.</t>
    </r>
  </si>
  <si>
    <r>
      <t>Haushalte</t>
    </r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insgesamt</t>
    </r>
  </si>
  <si>
    <r>
      <t>1</t>
    </r>
    <r>
      <rPr>
        <sz val="8"/>
        <rFont val="Arial"/>
        <family val="2"/>
      </rPr>
      <t xml:space="preserve">  Ergebnisse der Haushaltegenerierung.</t>
    </r>
  </si>
  <si>
    <t xml:space="preserve">2.3.6 Haushalte, Familien mit Kindern in Stuttgart am 31.12.2012 nach der Zahl der Kinder </t>
  </si>
  <si>
    <r>
      <t>1</t>
    </r>
    <r>
      <rPr>
        <sz val="8"/>
        <rFont val="Arial"/>
        <family val="2"/>
      </rPr>
      <t xml:space="preserve">  Ergebnisse der Haushaltegenerierung. Diese sind aufgrund von Änderungen der Haushaltegenerierung nicht mit dem Vorjahreswert vergleichbar.</t>
    </r>
  </si>
  <si>
    <t xml:space="preserve">2.3.6 Haushalte, Familien mit Kindern in Stuttgart am 31.12.2013 nach der Zahl der Kinder </t>
  </si>
  <si>
    <t xml:space="preserve">2.3.6 Haushalte, Familien mit Kindern in Stuttgart am 31.12.2014 nach der Zahl der Kinder </t>
  </si>
  <si>
    <t xml:space="preserve">2.3.6 Haushalte, Familien mit Kindern in Stuttgart am 31.12.2015 nach der Zahl der Kinder </t>
  </si>
  <si>
    <t xml:space="preserve">2.3.6 Haushalte, Familien mit Kindern in Stuttgart am 31.12.2016 nach der Zahl der Kinder und Stadtbezirken </t>
  </si>
  <si>
    <t>- Bundesmeldegesetz (BMG) vom 03. Mai 2013.</t>
  </si>
  <si>
    <t xml:space="preserve">  Stuttgart (Kommunalstatistiksatzung) vom 27. Mai 1993.</t>
  </si>
  <si>
    <t xml:space="preserve">2.3.6 Haushalte, Familien mit Kindern in Stuttgart am 31.12.2017 nach der Zahl der Kinder und Stadtbezirken </t>
  </si>
  <si>
    <t xml:space="preserve">2.3.6 Haushalte, Familien mit Kindern in Stuttgart am 31.12.2018 nach der Zahl der Kinder und Stadtbezirken </t>
  </si>
  <si>
    <t xml:space="preserve">2.3.6 Haushalte, Familien mit Kindern in Stuttgart am 31.12.2019 nach der Zahl der Kinder und Stadtbezirken </t>
  </si>
  <si>
    <t xml:space="preserve">2.3.6 Haushalte, Familien mit Kindern in Stuttgart am 31.12.2020 nach der Zahl der Kinder und Stadtbezirken </t>
  </si>
  <si>
    <t xml:space="preserve">2.3.6 Haushalte, Familien mit Kindern in Stuttgart am 31.12.2021 nach der Zahl der Kinder und Stadtbezirken </t>
  </si>
  <si>
    <t xml:space="preserve">2.3.6 Haushalte, Familien mit Kindern in Stuttgart am 31.12.2022 nach der Zahl der Kinder und Stadtbezirken </t>
  </si>
  <si>
    <t xml:space="preserve">2.3.6 Haushalte, Familien mit Kindern in Stuttgart am 31.12.2023 nach der Zahl der Kinder und Stadtbezirken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</si>
</sst>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64" formatCode="_(&quot;€&quot;* #,##0.00_);_(&quot;€&quot;* \(#,##0.00\);_(&quot;€&quot;* &quot;-&quot;??_);_(@_)"/>
    <numFmt numFmtId="165" formatCode="#\ ##0.0_);\(#\ ##0.0\)"/>
    <numFmt numFmtId="166" formatCode="#\ ##0.00_);\(#\ ##0.00\)"/>
    <numFmt numFmtId="167" formatCode="#\ ###\ ##0__;\-\ #\ ###\ ##0__;\-__"/>
    <numFmt numFmtId="168" formatCode="#\ ###\ ##0.00__;\-\ #\ ###\ ##0.00__;\-__"/>
    <numFmt numFmtId="169" formatCode="#0.0____________;"/>
    <numFmt numFmtId="170" formatCode="#\ ##0__;"/>
    <numFmt numFmtId="171" formatCode="0.00__;"/>
    <numFmt numFmtId="172" formatCode="0.0__;"/>
    <numFmt numFmtId="173" formatCode="###\ ##0____;"/>
  </numFmts>
  <fonts count="33" x14ac:knownFonts="1">
    <font>
      <sz val="8"/>
      <name val="Arial"/>
      <family val="2"/>
    </font>
    <font>
      <b/>
      <sz val="10"/>
      <name val="Arial"/>
    </font>
    <font>
      <sz val="10"/>
      <name val="Arial"/>
      <family val="2"/>
    </font>
    <font>
      <sz val="14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b/>
      <sz val="20"/>
      <name val="Helv"/>
    </font>
    <font>
      <b/>
      <sz val="10"/>
      <name val="Arial"/>
      <family val="2"/>
    </font>
    <font>
      <sz val="8"/>
      <name val="Frutiger 45 Light"/>
      <family val="2"/>
    </font>
    <font>
      <b/>
      <sz val="8"/>
      <name val="Arial"/>
      <family val="2"/>
    </font>
    <font>
      <u/>
      <sz val="8"/>
      <name val="Arial"/>
      <family val="2"/>
    </font>
    <font>
      <sz val="10"/>
      <name val="Arial"/>
    </font>
    <font>
      <sz val="11"/>
      <color theme="1"/>
      <name val="Arial"/>
      <family val="2"/>
    </font>
    <font>
      <sz val="11"/>
      <color theme="0"/>
      <name val="Arial"/>
      <family val="2"/>
    </font>
    <font>
      <b/>
      <sz val="11"/>
      <color rgb="FF3F3F3F"/>
      <name val="Arial"/>
      <family val="2"/>
    </font>
    <font>
      <b/>
      <sz val="11"/>
      <color rgb="FFFA7D00"/>
      <name val="Arial"/>
      <family val="2"/>
    </font>
    <font>
      <sz val="11"/>
      <color rgb="FF3F3F76"/>
      <name val="Arial"/>
      <family val="2"/>
    </font>
    <font>
      <b/>
      <sz val="11"/>
      <color theme="1"/>
      <name val="Arial"/>
      <family val="2"/>
    </font>
    <font>
      <i/>
      <sz val="11"/>
      <color rgb="FF7F7F7F"/>
      <name val="Arial"/>
      <family val="2"/>
    </font>
    <font>
      <sz val="11"/>
      <color rgb="FF006100"/>
      <name val="Arial"/>
      <family val="2"/>
    </font>
    <font>
      <sz val="11"/>
      <color rgb="FF9C6500"/>
      <name val="Arial"/>
      <family val="2"/>
    </font>
    <font>
      <sz val="11"/>
      <color rgb="FF9C0006"/>
      <name val="Arial"/>
      <family val="2"/>
    </font>
    <font>
      <sz val="11"/>
      <color theme="1"/>
      <name val="Calibri"/>
    </font>
    <font>
      <sz val="11"/>
      <color theme="1"/>
      <name val="Calibri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1"/>
      <color rgb="FFFA7D00"/>
      <name val="Arial"/>
      <family val="2"/>
    </font>
    <font>
      <sz val="11"/>
      <color rgb="FFFF0000"/>
      <name val="Arial"/>
      <family val="2"/>
    </font>
    <font>
      <b/>
      <sz val="11"/>
      <color theme="0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A5A5A5"/>
      </patternFill>
    </fill>
  </fills>
  <borders count="4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medium">
        <color indexed="9"/>
      </left>
      <right/>
      <top style="medium">
        <color indexed="9"/>
      </top>
      <bottom style="medium">
        <color indexed="9"/>
      </bottom>
      <diagonal/>
    </border>
    <border>
      <left/>
      <right style="medium">
        <color indexed="9"/>
      </right>
      <top style="medium">
        <color indexed="9"/>
      </top>
      <bottom/>
      <diagonal/>
    </border>
    <border>
      <left/>
      <right style="medium">
        <color indexed="9"/>
      </right>
      <top/>
      <bottom/>
      <diagonal/>
    </border>
    <border>
      <left/>
      <right style="medium">
        <color indexed="9"/>
      </right>
      <top/>
      <bottom style="medium">
        <color indexed="9"/>
      </bottom>
      <diagonal/>
    </border>
    <border>
      <left/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medium">
        <color indexed="9"/>
      </left>
      <right style="medium">
        <color indexed="9"/>
      </right>
      <top/>
      <bottom style="medium">
        <color indexed="9"/>
      </bottom>
      <diagonal/>
    </border>
    <border>
      <left style="medium">
        <color indexed="9"/>
      </left>
      <right/>
      <top/>
      <bottom style="medium">
        <color indexed="9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62">
    <xf numFmtId="167" fontId="0" fillId="0" borderId="0" applyFill="0" applyBorder="0" applyAlignment="0" applyProtection="0">
      <alignment vertical="center"/>
    </xf>
    <xf numFmtId="0" fontId="15" fillId="3" borderId="0" applyNumberFormat="0" applyBorder="0" applyAlignment="0" applyProtection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6" fillId="9" borderId="31" applyNumberFormat="0" applyAlignment="0" applyProtection="0"/>
    <xf numFmtId="0" fontId="17" fillId="9" borderId="32" applyNumberFormat="0" applyAlignment="0" applyProtection="0"/>
    <xf numFmtId="165" fontId="3" fillId="0" borderId="0"/>
    <xf numFmtId="166" fontId="3" fillId="0" borderId="0"/>
    <xf numFmtId="0" fontId="18" fillId="10" borderId="32" applyNumberFormat="0" applyAlignment="0" applyProtection="0"/>
    <xf numFmtId="0" fontId="19" fillId="0" borderId="33" applyNumberFormat="0" applyFill="0" applyAlignment="0" applyProtection="0"/>
    <xf numFmtId="0" fontId="20" fillId="0" borderId="0" applyNumberForma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7" fontId="3" fillId="0" borderId="0"/>
    <xf numFmtId="0" fontId="21" fillId="11" borderId="0" applyNumberFormat="0" applyBorder="0" applyAlignment="0" applyProtection="0"/>
    <xf numFmtId="0" fontId="22" fillId="12" borderId="0" applyNumberFormat="0" applyBorder="0" applyAlignment="0" applyProtection="0"/>
    <xf numFmtId="0" fontId="14" fillId="13" borderId="34" applyNumberFormat="0" applyFont="0" applyAlignment="0" applyProtection="0"/>
    <xf numFmtId="0" fontId="23" fillId="14" borderId="0" applyNumberFormat="0" applyBorder="0" applyAlignment="0" applyProtection="0"/>
    <xf numFmtId="0" fontId="13" fillId="0" borderId="0"/>
    <xf numFmtId="0" fontId="2" fillId="0" borderId="0"/>
    <xf numFmtId="0" fontId="2" fillId="0" borderId="0"/>
    <xf numFmtId="0" fontId="13" fillId="0" borderId="0"/>
    <xf numFmtId="0" fontId="2" fillId="0" borderId="0"/>
    <xf numFmtId="0" fontId="13" fillId="0" borderId="0"/>
    <xf numFmtId="0" fontId="2" fillId="0" borderId="0"/>
    <xf numFmtId="0" fontId="24" fillId="0" borderId="0"/>
    <xf numFmtId="0" fontId="25" fillId="0" borderId="0"/>
    <xf numFmtId="0" fontId="25" fillId="0" borderId="0"/>
    <xf numFmtId="0" fontId="13" fillId="0" borderId="0"/>
    <xf numFmtId="0" fontId="2" fillId="0" borderId="0"/>
    <xf numFmtId="0" fontId="14" fillId="0" borderId="0"/>
    <xf numFmtId="0" fontId="24" fillId="0" borderId="0"/>
    <xf numFmtId="0" fontId="2" fillId="0" borderId="0"/>
    <xf numFmtId="0" fontId="2" fillId="0" borderId="0"/>
    <xf numFmtId="0" fontId="24" fillId="0" borderId="0"/>
    <xf numFmtId="0" fontId="2" fillId="0" borderId="0"/>
    <xf numFmtId="0" fontId="2" fillId="0" borderId="0"/>
    <xf numFmtId="0" fontId="13" fillId="0" borderId="0"/>
    <xf numFmtId="0" fontId="2" fillId="0" borderId="0"/>
    <xf numFmtId="0" fontId="13" fillId="0" borderId="0"/>
    <xf numFmtId="0" fontId="2" fillId="0" borderId="0"/>
    <xf numFmtId="0" fontId="2" fillId="0" borderId="0"/>
    <xf numFmtId="0" fontId="4" fillId="0" borderId="0" applyFill="0" applyBorder="0" applyAlignment="0" applyProtection="0">
      <alignment vertical="center"/>
    </xf>
    <xf numFmtId="0" fontId="4" fillId="0" borderId="0" applyFill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167" fontId="4" fillId="0" borderId="0" applyFill="0" applyBorder="0" applyAlignment="0" applyProtection="0">
      <alignment vertical="center"/>
    </xf>
    <xf numFmtId="0" fontId="8" fillId="0" borderId="0"/>
    <xf numFmtId="0" fontId="26" fillId="0" borderId="0" applyNumberFormat="0" applyFill="0" applyBorder="0" applyAlignment="0" applyProtection="0"/>
    <xf numFmtId="0" fontId="27" fillId="0" borderId="35" applyNumberFormat="0" applyFill="0" applyAlignment="0" applyProtection="0"/>
    <xf numFmtId="0" fontId="28" fillId="0" borderId="36" applyNumberFormat="0" applyFill="0" applyAlignment="0" applyProtection="0"/>
    <xf numFmtId="0" fontId="29" fillId="0" borderId="37" applyNumberFormat="0" applyFill="0" applyAlignment="0" applyProtection="0"/>
    <xf numFmtId="0" fontId="29" fillId="0" borderId="0" applyNumberFormat="0" applyFill="0" applyBorder="0" applyAlignment="0" applyProtection="0"/>
    <xf numFmtId="0" fontId="30" fillId="0" borderId="38" applyNumberFormat="0" applyFill="0" applyAlignment="0" applyProtection="0"/>
    <xf numFmtId="0" fontId="31" fillId="0" borderId="0" applyNumberFormat="0" applyFill="0" applyBorder="0" applyAlignment="0" applyProtection="0"/>
    <xf numFmtId="0" fontId="32" fillId="15" borderId="39" applyNumberFormat="0" applyAlignment="0" applyProtection="0"/>
  </cellStyleXfs>
  <cellXfs count="198">
    <xf numFmtId="167" fontId="0" fillId="0" borderId="0" xfId="0" applyAlignment="1"/>
    <xf numFmtId="167" fontId="0" fillId="0" borderId="0" xfId="0" applyAlignment="1">
      <alignment horizontal="centerContinuous"/>
    </xf>
    <xf numFmtId="167" fontId="4" fillId="0" borderId="0" xfId="0" applyFont="1" applyAlignment="1"/>
    <xf numFmtId="167" fontId="5" fillId="0" borderId="0" xfId="0" applyFont="1" applyAlignment="1">
      <alignment horizontal="centerContinuous"/>
    </xf>
    <xf numFmtId="0" fontId="1" fillId="0" borderId="0" xfId="48" quotePrefix="1" applyFont="1" applyAlignment="1">
      <alignment horizontal="left"/>
    </xf>
    <xf numFmtId="0" fontId="4" fillId="0" borderId="1" xfId="48" applyBorder="1" applyAlignment="1"/>
    <xf numFmtId="0" fontId="4" fillId="0" borderId="1" xfId="48" applyBorder="1" applyAlignment="1">
      <alignment horizontal="centerContinuous"/>
    </xf>
    <xf numFmtId="0" fontId="4" fillId="0" borderId="2" xfId="48" applyBorder="1" applyAlignment="1">
      <alignment horizontal="center"/>
    </xf>
    <xf numFmtId="0" fontId="4" fillId="0" borderId="1" xfId="48" quotePrefix="1" applyBorder="1" applyAlignment="1">
      <alignment horizontal="centerContinuous"/>
    </xf>
    <xf numFmtId="0" fontId="4" fillId="0" borderId="3" xfId="48" applyBorder="1" applyAlignment="1"/>
    <xf numFmtId="0" fontId="4" fillId="0" borderId="4" xfId="48" applyBorder="1" applyAlignment="1">
      <alignment horizontal="center"/>
    </xf>
    <xf numFmtId="0" fontId="4" fillId="0" borderId="5" xfId="48" applyBorder="1" applyAlignment="1">
      <alignment horizontal="center"/>
    </xf>
    <xf numFmtId="0" fontId="4" fillId="0" borderId="6" xfId="48" applyBorder="1" applyAlignment="1">
      <alignment horizontal="center"/>
    </xf>
    <xf numFmtId="0" fontId="4" fillId="0" borderId="7" xfId="48" applyBorder="1" applyAlignment="1">
      <alignment horizontal="center"/>
    </xf>
    <xf numFmtId="0" fontId="4" fillId="0" borderId="1" xfId="48" quotePrefix="1" applyBorder="1" applyAlignment="1">
      <alignment horizontal="center"/>
    </xf>
    <xf numFmtId="0" fontId="4" fillId="0" borderId="0" xfId="48" applyAlignment="1"/>
    <xf numFmtId="170" fontId="4" fillId="0" borderId="0" xfId="48" applyNumberFormat="1" applyAlignment="1"/>
    <xf numFmtId="171" fontId="4" fillId="0" borderId="0" xfId="48" applyNumberFormat="1" applyAlignment="1"/>
    <xf numFmtId="0" fontId="4" fillId="0" borderId="0" xfId="48" applyAlignment="1" applyProtection="1"/>
    <xf numFmtId="0" fontId="7" fillId="0" borderId="0" xfId="48" quotePrefix="1" applyFont="1" applyAlignment="1">
      <alignment horizontal="left"/>
    </xf>
    <xf numFmtId="0" fontId="4" fillId="0" borderId="3" xfId="48" applyBorder="1" applyAlignment="1" applyProtection="1">
      <alignment horizontal="left"/>
    </xf>
    <xf numFmtId="172" fontId="4" fillId="0" borderId="0" xfId="48" applyNumberFormat="1" applyAlignment="1"/>
    <xf numFmtId="0" fontId="6" fillId="0" borderId="3" xfId="48" applyFont="1" applyBorder="1" applyAlignment="1">
      <alignment horizontal="left"/>
    </xf>
    <xf numFmtId="0" fontId="4" fillId="0" borderId="0" xfId="48" applyFont="1" applyAlignment="1"/>
    <xf numFmtId="169" fontId="4" fillId="0" borderId="0" xfId="48" applyNumberFormat="1" applyAlignment="1"/>
    <xf numFmtId="0" fontId="9" fillId="0" borderId="0" xfId="48" applyFont="1" applyAlignment="1">
      <alignment horizontal="centerContinuous"/>
    </xf>
    <xf numFmtId="0" fontId="4" fillId="0" borderId="0" xfId="48" applyAlignment="1">
      <alignment horizontal="centerContinuous"/>
    </xf>
    <xf numFmtId="0" fontId="2" fillId="0" borderId="0" xfId="49" applyFill="1" applyBorder="1" applyAlignment="1">
      <alignment horizontal="right" wrapText="1"/>
    </xf>
    <xf numFmtId="167" fontId="5" fillId="0" borderId="0" xfId="0" applyFont="1" applyBorder="1" applyAlignment="1"/>
    <xf numFmtId="167" fontId="9" fillId="0" borderId="0" xfId="0" applyFont="1" applyBorder="1" applyAlignment="1"/>
    <xf numFmtId="167" fontId="5" fillId="0" borderId="0" xfId="0" applyFont="1" applyBorder="1" applyAlignment="1">
      <alignment horizontal="center"/>
    </xf>
    <xf numFmtId="167" fontId="9" fillId="0" borderId="0" xfId="0" applyFont="1" applyBorder="1" applyAlignment="1">
      <alignment horizontal="center"/>
    </xf>
    <xf numFmtId="167" fontId="5" fillId="0" borderId="8" xfId="0" applyFont="1" applyBorder="1" applyAlignment="1">
      <alignment horizontal="center"/>
    </xf>
    <xf numFmtId="167" fontId="5" fillId="0" borderId="9" xfId="0" applyFont="1" applyBorder="1" applyAlignment="1">
      <alignment horizontal="center"/>
    </xf>
    <xf numFmtId="167" fontId="5" fillId="0" borderId="10" xfId="0" applyFont="1" applyBorder="1" applyAlignment="1">
      <alignment horizontal="center"/>
    </xf>
    <xf numFmtId="167" fontId="5" fillId="0" borderId="11" xfId="0" applyFont="1" applyBorder="1" applyAlignment="1">
      <alignment horizontal="center"/>
    </xf>
    <xf numFmtId="167" fontId="5" fillId="0" borderId="12" xfId="0" applyFont="1" applyBorder="1" applyAlignment="1">
      <alignment horizontal="center"/>
    </xf>
    <xf numFmtId="167" fontId="5" fillId="0" borderId="4" xfId="0" applyFont="1" applyBorder="1" applyAlignment="1">
      <alignment horizontal="center"/>
    </xf>
    <xf numFmtId="167" fontId="5" fillId="0" borderId="8" xfId="0" applyFont="1" applyBorder="1" applyAlignment="1"/>
    <xf numFmtId="167" fontId="5" fillId="0" borderId="9" xfId="0" applyFont="1" applyBorder="1" applyAlignment="1"/>
    <xf numFmtId="167" fontId="5" fillId="0" borderId="10" xfId="0" applyFont="1" applyBorder="1" applyAlignment="1"/>
    <xf numFmtId="167" fontId="9" fillId="0" borderId="11" xfId="0" applyFont="1" applyBorder="1" applyAlignment="1"/>
    <xf numFmtId="167" fontId="5" fillId="0" borderId="12" xfId="0" applyFont="1" applyBorder="1" applyAlignment="1"/>
    <xf numFmtId="167" fontId="5" fillId="0" borderId="4" xfId="0" applyFont="1" applyBorder="1" applyAlignment="1"/>
    <xf numFmtId="167" fontId="9" fillId="0" borderId="11" xfId="0" applyFont="1" applyBorder="1" applyAlignment="1">
      <alignment horizontal="center"/>
    </xf>
    <xf numFmtId="167" fontId="5" fillId="0" borderId="9" xfId="0" quotePrefix="1" applyFont="1" applyBorder="1" applyAlignment="1"/>
    <xf numFmtId="167" fontId="5" fillId="0" borderId="11" xfId="0" quotePrefix="1" applyFont="1" applyBorder="1" applyAlignment="1"/>
    <xf numFmtId="167" fontId="5" fillId="0" borderId="11" xfId="0" applyFont="1" applyBorder="1" applyAlignment="1"/>
    <xf numFmtId="167" fontId="9" fillId="0" borderId="11" xfId="52" applyFont="1" applyBorder="1" applyAlignment="1"/>
    <xf numFmtId="167" fontId="5" fillId="0" borderId="0" xfId="0" applyFont="1" applyFill="1" applyAlignment="1">
      <alignment horizontal="centerContinuous"/>
    </xf>
    <xf numFmtId="167" fontId="0" fillId="0" borderId="0" xfId="0" applyFill="1" applyAlignment="1">
      <alignment horizontal="centerContinuous"/>
    </xf>
    <xf numFmtId="167" fontId="0" fillId="0" borderId="0" xfId="0" applyFill="1" applyAlignment="1"/>
    <xf numFmtId="0" fontId="9" fillId="0" borderId="0" xfId="48" applyFont="1" applyFill="1" applyAlignment="1">
      <alignment horizontal="centerContinuous"/>
    </xf>
    <xf numFmtId="0" fontId="4" fillId="0" borderId="0" xfId="48" applyFill="1" applyAlignment="1">
      <alignment horizontal="centerContinuous"/>
    </xf>
    <xf numFmtId="0" fontId="1" fillId="0" borderId="0" xfId="48" quotePrefix="1" applyFont="1" applyFill="1" applyAlignment="1">
      <alignment horizontal="left"/>
    </xf>
    <xf numFmtId="0" fontId="4" fillId="0" borderId="1" xfId="48" applyFill="1" applyBorder="1" applyAlignment="1"/>
    <xf numFmtId="0" fontId="4" fillId="0" borderId="1" xfId="48" applyFill="1" applyBorder="1" applyAlignment="1">
      <alignment horizontal="centerContinuous"/>
    </xf>
    <xf numFmtId="0" fontId="4" fillId="0" borderId="2" xfId="48" applyFill="1" applyBorder="1" applyAlignment="1">
      <alignment horizontal="center"/>
    </xf>
    <xf numFmtId="0" fontId="4" fillId="0" borderId="1" xfId="48" quotePrefix="1" applyFill="1" applyBorder="1" applyAlignment="1">
      <alignment horizontal="centerContinuous"/>
    </xf>
    <xf numFmtId="0" fontId="4" fillId="0" borderId="3" xfId="48" applyFill="1" applyBorder="1" applyAlignment="1"/>
    <xf numFmtId="0" fontId="4" fillId="0" borderId="4" xfId="48" applyFill="1" applyBorder="1" applyAlignment="1">
      <alignment horizontal="center"/>
    </xf>
    <xf numFmtId="0" fontId="4" fillId="0" borderId="5" xfId="48" applyFill="1" applyBorder="1" applyAlignment="1">
      <alignment horizontal="center"/>
    </xf>
    <xf numFmtId="0" fontId="4" fillId="0" borderId="6" xfId="48" applyFill="1" applyBorder="1" applyAlignment="1">
      <alignment horizontal="center"/>
    </xf>
    <xf numFmtId="0" fontId="4" fillId="0" borderId="7" xfId="48" applyFill="1" applyBorder="1" applyAlignment="1">
      <alignment horizontal="center"/>
    </xf>
    <xf numFmtId="0" fontId="4" fillId="0" borderId="1" xfId="48" quotePrefix="1" applyFill="1" applyBorder="1" applyAlignment="1">
      <alignment horizontal="center"/>
    </xf>
    <xf numFmtId="0" fontId="4" fillId="0" borderId="0" xfId="48" applyFill="1" applyAlignment="1"/>
    <xf numFmtId="0" fontId="4" fillId="0" borderId="3" xfId="48" applyFill="1" applyBorder="1" applyAlignment="1" applyProtection="1">
      <alignment horizontal="left"/>
    </xf>
    <xf numFmtId="170" fontId="4" fillId="0" borderId="0" xfId="48" applyNumberFormat="1" applyFont="1" applyFill="1" applyAlignment="1"/>
    <xf numFmtId="168" fontId="4" fillId="0" borderId="0" xfId="51" applyNumberFormat="1" applyFont="1" applyFill="1"/>
    <xf numFmtId="172" fontId="4" fillId="0" borderId="0" xfId="48" applyNumberFormat="1" applyFill="1" applyAlignment="1"/>
    <xf numFmtId="0" fontId="6" fillId="0" borderId="3" xfId="48" applyFont="1" applyFill="1" applyBorder="1" applyAlignment="1">
      <alignment horizontal="left"/>
    </xf>
    <xf numFmtId="170" fontId="4" fillId="0" borderId="0" xfId="48" applyNumberFormat="1" applyFill="1" applyAlignment="1"/>
    <xf numFmtId="171" fontId="4" fillId="0" borderId="0" xfId="48" applyNumberFormat="1" applyFill="1" applyAlignment="1"/>
    <xf numFmtId="171" fontId="4" fillId="0" borderId="0" xfId="50" applyNumberFormat="1" applyFont="1" applyFill="1"/>
    <xf numFmtId="0" fontId="4" fillId="0" borderId="0" xfId="48" applyFont="1" applyFill="1" applyAlignment="1"/>
    <xf numFmtId="0" fontId="4" fillId="0" borderId="0" xfId="48" applyFill="1" applyAlignment="1" applyProtection="1"/>
    <xf numFmtId="169" fontId="4" fillId="0" borderId="0" xfId="48" applyNumberFormat="1" applyFill="1" applyAlignment="1"/>
    <xf numFmtId="0" fontId="7" fillId="0" borderId="0" xfId="48" quotePrefix="1" applyFont="1" applyFill="1" applyAlignment="1">
      <alignment horizontal="left"/>
    </xf>
    <xf numFmtId="167" fontId="4" fillId="0" borderId="0" xfId="0" applyFont="1" applyFill="1" applyAlignment="1"/>
    <xf numFmtId="170" fontId="10" fillId="0" borderId="0" xfId="48" applyNumberFormat="1" applyFont="1" applyFill="1" applyBorder="1" applyAlignment="1">
      <alignment vertical="center"/>
    </xf>
    <xf numFmtId="171" fontId="10" fillId="0" borderId="0" xfId="48" applyNumberFormat="1" applyFont="1" applyFill="1" applyBorder="1" applyAlignment="1">
      <alignment vertical="center"/>
    </xf>
    <xf numFmtId="171" fontId="4" fillId="0" borderId="0" xfId="48" applyNumberFormat="1" applyFont="1" applyAlignment="1"/>
    <xf numFmtId="173" fontId="4" fillId="0" borderId="0" xfId="48" applyNumberFormat="1" applyFill="1" applyAlignment="1"/>
    <xf numFmtId="0" fontId="4" fillId="0" borderId="13" xfId="48" applyFill="1" applyBorder="1" applyAlignment="1">
      <alignment horizontal="center"/>
    </xf>
    <xf numFmtId="0" fontId="4" fillId="0" borderId="14" xfId="48" applyFill="1" applyBorder="1" applyAlignment="1">
      <alignment horizontal="center"/>
    </xf>
    <xf numFmtId="0" fontId="4" fillId="0" borderId="13" xfId="48" applyBorder="1" applyAlignment="1">
      <alignment horizontal="center"/>
    </xf>
    <xf numFmtId="0" fontId="4" fillId="0" borderId="14" xfId="48" applyBorder="1" applyAlignment="1">
      <alignment horizontal="center"/>
    </xf>
    <xf numFmtId="167" fontId="0" fillId="0" borderId="0" xfId="0" applyFont="1" applyFill="1" applyAlignment="1">
      <alignment horizontal="centerContinuous"/>
    </xf>
    <xf numFmtId="0" fontId="0" fillId="0" borderId="0" xfId="47" applyFont="1" applyFill="1" applyBorder="1" applyAlignment="1">
      <alignment vertical="center"/>
    </xf>
    <xf numFmtId="0" fontId="7" fillId="0" borderId="0" xfId="47" quotePrefix="1" applyFont="1" applyFill="1" applyBorder="1" applyAlignment="1">
      <alignment horizontal="left" vertical="center"/>
    </xf>
    <xf numFmtId="0" fontId="5" fillId="2" borderId="0" xfId="47" applyFont="1" applyFill="1" applyBorder="1" applyAlignment="1">
      <alignment horizontal="left" vertical="center"/>
    </xf>
    <xf numFmtId="0" fontId="0" fillId="2" borderId="0" xfId="47" applyFont="1" applyFill="1" applyBorder="1" applyAlignment="1">
      <alignment horizontal="left" vertical="center"/>
    </xf>
    <xf numFmtId="0" fontId="5" fillId="2" borderId="0" xfId="47" quotePrefix="1" applyFont="1" applyFill="1" applyBorder="1" applyAlignment="1">
      <alignment horizontal="left" vertical="center"/>
    </xf>
    <xf numFmtId="0" fontId="9" fillId="0" borderId="0" xfId="47" quotePrefix="1" applyFont="1" applyFill="1" applyBorder="1" applyAlignment="1">
      <alignment horizontal="left" vertical="center"/>
    </xf>
    <xf numFmtId="0" fontId="0" fillId="2" borderId="15" xfId="47" applyFont="1" applyFill="1" applyBorder="1" applyAlignment="1">
      <alignment horizontal="center" vertical="center"/>
    </xf>
    <xf numFmtId="0" fontId="0" fillId="2" borderId="16" xfId="47" quotePrefix="1" applyFont="1" applyFill="1" applyBorder="1" applyAlignment="1">
      <alignment horizontal="center" vertical="center"/>
    </xf>
    <xf numFmtId="0" fontId="0" fillId="2" borderId="17" xfId="47" applyFont="1" applyFill="1" applyBorder="1" applyAlignment="1">
      <alignment vertical="center"/>
    </xf>
    <xf numFmtId="0" fontId="0" fillId="2" borderId="18" xfId="47" applyFont="1" applyFill="1" applyBorder="1" applyAlignment="1" applyProtection="1">
      <alignment horizontal="left" vertical="center"/>
    </xf>
    <xf numFmtId="173" fontId="0" fillId="0" borderId="0" xfId="48" applyNumberFormat="1" applyFont="1" applyFill="1" applyBorder="1" applyAlignment="1">
      <alignment vertical="center"/>
    </xf>
    <xf numFmtId="170" fontId="0" fillId="0" borderId="0" xfId="48" applyNumberFormat="1" applyFont="1" applyFill="1" applyAlignment="1"/>
    <xf numFmtId="168" fontId="0" fillId="0" borderId="0" xfId="51" applyNumberFormat="1" applyFont="1" applyFill="1"/>
    <xf numFmtId="172" fontId="0" fillId="0" borderId="0" xfId="48" applyNumberFormat="1" applyFont="1" applyFill="1" applyAlignment="1">
      <alignment horizontal="center"/>
    </xf>
    <xf numFmtId="170" fontId="0" fillId="0" borderId="0" xfId="47" applyNumberFormat="1" applyFont="1" applyFill="1" applyBorder="1" applyAlignment="1">
      <alignment vertical="center"/>
    </xf>
    <xf numFmtId="0" fontId="11" fillId="2" borderId="18" xfId="47" applyFont="1" applyFill="1" applyBorder="1" applyAlignment="1">
      <alignment horizontal="left" vertical="center"/>
    </xf>
    <xf numFmtId="0" fontId="0" fillId="2" borderId="18" xfId="47" applyFont="1" applyFill="1" applyBorder="1" applyAlignment="1">
      <alignment vertical="center"/>
    </xf>
    <xf numFmtId="170" fontId="0" fillId="0" borderId="0" xfId="48" applyNumberFormat="1" applyFont="1" applyFill="1" applyBorder="1" applyAlignment="1">
      <alignment vertical="center"/>
    </xf>
    <xf numFmtId="171" fontId="0" fillId="0" borderId="0" xfId="48" applyNumberFormat="1" applyFont="1" applyFill="1" applyBorder="1" applyAlignment="1">
      <alignment vertical="center"/>
    </xf>
    <xf numFmtId="172" fontId="0" fillId="0" borderId="0" xfId="48" applyNumberFormat="1" applyFont="1" applyFill="1" applyBorder="1" applyAlignment="1">
      <alignment horizontal="center" vertical="center"/>
    </xf>
    <xf numFmtId="171" fontId="0" fillId="0" borderId="0" xfId="50" applyNumberFormat="1" applyFont="1" applyFill="1"/>
    <xf numFmtId="170" fontId="11" fillId="0" borderId="0" xfId="48" applyNumberFormat="1" applyFont="1" applyFill="1" applyBorder="1" applyAlignment="1">
      <alignment vertical="center"/>
    </xf>
    <xf numFmtId="170" fontId="11" fillId="0" borderId="0" xfId="48" applyNumberFormat="1" applyFont="1" applyFill="1" applyAlignment="1"/>
    <xf numFmtId="172" fontId="11" fillId="0" borderId="0" xfId="48" applyNumberFormat="1" applyFont="1" applyFill="1" applyAlignment="1">
      <alignment horizontal="center"/>
    </xf>
    <xf numFmtId="0" fontId="12" fillId="0" borderId="0" xfId="47" applyFont="1" applyFill="1" applyBorder="1" applyAlignment="1">
      <alignment horizontal="left" vertical="center"/>
    </xf>
    <xf numFmtId="0" fontId="0" fillId="0" borderId="0" xfId="48" applyFont="1" applyFill="1" applyBorder="1" applyAlignment="1" applyProtection="1">
      <alignment vertical="center"/>
    </xf>
    <xf numFmtId="0" fontId="0" fillId="0" borderId="0" xfId="48" applyFont="1" applyFill="1" applyBorder="1" applyAlignment="1">
      <alignment vertical="center"/>
    </xf>
    <xf numFmtId="169" fontId="0" fillId="0" borderId="0" xfId="48" applyNumberFormat="1" applyFont="1" applyFill="1" applyBorder="1" applyAlignment="1">
      <alignment vertical="center"/>
    </xf>
    <xf numFmtId="169" fontId="0" fillId="0" borderId="0" xfId="47" applyNumberFormat="1" applyFont="1" applyFill="1" applyBorder="1" applyAlignment="1">
      <alignment vertical="center"/>
    </xf>
    <xf numFmtId="167" fontId="0" fillId="0" borderId="0" xfId="0" applyFont="1" applyFill="1" applyAlignment="1"/>
    <xf numFmtId="167" fontId="5" fillId="2" borderId="0" xfId="0" applyFont="1" applyFill="1" applyBorder="1" applyAlignment="1">
      <alignment horizontal="left" vertical="center"/>
    </xf>
    <xf numFmtId="167" fontId="0" fillId="2" borderId="0" xfId="0" applyFont="1" applyFill="1" applyBorder="1" applyAlignment="1">
      <alignment horizontal="left" vertical="center"/>
    </xf>
    <xf numFmtId="167" fontId="5" fillId="2" borderId="0" xfId="0" quotePrefix="1" applyFont="1" applyFill="1" applyBorder="1" applyAlignment="1">
      <alignment horizontal="left" vertical="center"/>
    </xf>
    <xf numFmtId="167" fontId="9" fillId="0" borderId="0" xfId="0" quotePrefix="1" applyFont="1" applyFill="1" applyBorder="1" applyAlignment="1">
      <alignment horizontal="left" vertical="center"/>
    </xf>
    <xf numFmtId="167" fontId="0" fillId="0" borderId="0" xfId="0" applyFont="1" applyFill="1" applyBorder="1" applyAlignment="1">
      <alignment vertical="center"/>
    </xf>
    <xf numFmtId="167" fontId="0" fillId="2" borderId="15" xfId="0" applyFont="1" applyFill="1" applyBorder="1" applyAlignment="1">
      <alignment horizontal="center" vertical="center"/>
    </xf>
    <xf numFmtId="167" fontId="0" fillId="2" borderId="16" xfId="0" quotePrefix="1" applyFont="1" applyFill="1" applyBorder="1" applyAlignment="1">
      <alignment horizontal="center" vertical="center"/>
    </xf>
    <xf numFmtId="167" fontId="0" fillId="2" borderId="17" xfId="0" applyFont="1" applyFill="1" applyBorder="1" applyAlignment="1">
      <alignment vertical="center"/>
    </xf>
    <xf numFmtId="167" fontId="0" fillId="2" borderId="18" xfId="0" applyFont="1" applyFill="1" applyBorder="1" applyAlignment="1" applyProtection="1">
      <alignment horizontal="left" vertical="center"/>
    </xf>
    <xf numFmtId="0" fontId="5" fillId="0" borderId="0" xfId="49" applyFont="1" applyFill="1" applyBorder="1" applyAlignment="1">
      <alignment horizontal="right" wrapText="1"/>
    </xf>
    <xf numFmtId="167" fontId="11" fillId="2" borderId="18" xfId="0" applyFont="1" applyFill="1" applyBorder="1" applyAlignment="1">
      <alignment horizontal="left" vertical="center"/>
    </xf>
    <xf numFmtId="167" fontId="0" fillId="2" borderId="18" xfId="0" applyFont="1" applyFill="1" applyBorder="1" applyAlignment="1">
      <alignment vertical="center"/>
    </xf>
    <xf numFmtId="167" fontId="12" fillId="0" borderId="0" xfId="0" applyFont="1" applyFill="1" applyBorder="1" applyAlignment="1">
      <alignment horizontal="left" vertical="center"/>
    </xf>
    <xf numFmtId="167" fontId="7" fillId="0" borderId="0" xfId="0" quotePrefix="1" applyFont="1" applyFill="1" applyBorder="1" applyAlignment="1">
      <alignment horizontal="left" vertical="center"/>
    </xf>
    <xf numFmtId="169" fontId="0" fillId="0" borderId="0" xfId="0" applyNumberFormat="1" applyFont="1" applyFill="1" applyBorder="1" applyAlignment="1">
      <alignment vertical="center"/>
    </xf>
    <xf numFmtId="168" fontId="11" fillId="0" borderId="0" xfId="51" applyNumberFormat="1" applyFont="1" applyFill="1"/>
    <xf numFmtId="0" fontId="0" fillId="0" borderId="0" xfId="0" applyNumberFormat="1" applyFont="1" applyFill="1" applyBorder="1" applyAlignment="1">
      <alignment vertical="center"/>
    </xf>
    <xf numFmtId="167" fontId="2" fillId="2" borderId="0" xfId="0" applyFont="1" applyFill="1" applyBorder="1" applyAlignment="1">
      <alignment horizontal="left" vertical="center"/>
    </xf>
    <xf numFmtId="168" fontId="6" fillId="0" borderId="0" xfId="51" applyNumberFormat="1" applyFont="1" applyFill="1"/>
    <xf numFmtId="168" fontId="6" fillId="0" borderId="0" xfId="51" applyNumberFormat="1" applyFont="1" applyFill="1" applyAlignment="1">
      <alignment vertical="center"/>
    </xf>
    <xf numFmtId="172" fontId="11" fillId="0" borderId="0" xfId="48" applyNumberFormat="1" applyFont="1" applyFill="1" applyAlignment="1">
      <alignment horizontal="center" vertical="center"/>
    </xf>
    <xf numFmtId="170" fontId="11" fillId="0" borderId="0" xfId="48" applyNumberFormat="1" applyFont="1" applyFill="1" applyAlignment="1">
      <alignment vertical="center"/>
    </xf>
    <xf numFmtId="0" fontId="2" fillId="0" borderId="11" xfId="33" quotePrefix="1" applyFont="1" applyBorder="1" applyAlignment="1"/>
    <xf numFmtId="167" fontId="2" fillId="0" borderId="11" xfId="0" applyFont="1" applyBorder="1" applyAlignment="1"/>
    <xf numFmtId="167" fontId="0" fillId="2" borderId="15" xfId="0" applyFont="1" applyFill="1" applyBorder="1" applyAlignment="1">
      <alignment horizontal="center" vertical="center"/>
    </xf>
    <xf numFmtId="167" fontId="0" fillId="2" borderId="16" xfId="0" quotePrefix="1" applyFont="1" applyFill="1" applyBorder="1" applyAlignment="1">
      <alignment horizontal="center" vertical="center"/>
    </xf>
    <xf numFmtId="167" fontId="0" fillId="2" borderId="15" xfId="0" applyFont="1" applyFill="1" applyBorder="1" applyAlignment="1">
      <alignment horizontal="center" vertical="center"/>
    </xf>
    <xf numFmtId="167" fontId="0" fillId="2" borderId="16" xfId="0" quotePrefix="1" applyFont="1" applyFill="1" applyBorder="1" applyAlignment="1">
      <alignment horizontal="center" vertical="center"/>
    </xf>
    <xf numFmtId="167" fontId="0" fillId="2" borderId="15" xfId="0" applyFont="1" applyFill="1" applyBorder="1" applyAlignment="1">
      <alignment horizontal="center" vertical="center"/>
    </xf>
    <xf numFmtId="167" fontId="0" fillId="2" borderId="16" xfId="0" quotePrefix="1" applyFont="1" applyFill="1" applyBorder="1" applyAlignment="1">
      <alignment horizontal="center" vertical="center"/>
    </xf>
    <xf numFmtId="167" fontId="0" fillId="2" borderId="15" xfId="0" applyFont="1" applyFill="1" applyBorder="1" applyAlignment="1">
      <alignment horizontal="center" vertical="center"/>
    </xf>
    <xf numFmtId="167" fontId="0" fillId="2" borderId="16" xfId="0" quotePrefix="1" applyFont="1" applyFill="1" applyBorder="1" applyAlignment="1">
      <alignment horizontal="center" vertical="center"/>
    </xf>
    <xf numFmtId="167" fontId="6" fillId="2" borderId="18" xfId="0" applyFont="1" applyFill="1" applyBorder="1" applyAlignment="1">
      <alignment horizontal="left" vertical="center"/>
    </xf>
    <xf numFmtId="170" fontId="6" fillId="0" borderId="0" xfId="48" applyNumberFormat="1" applyFont="1" applyFill="1" applyAlignment="1"/>
    <xf numFmtId="172" fontId="6" fillId="0" borderId="0" xfId="48" applyNumberFormat="1" applyFont="1" applyFill="1" applyAlignment="1">
      <alignment horizontal="center"/>
    </xf>
    <xf numFmtId="167" fontId="6" fillId="0" borderId="0" xfId="0" applyFont="1" applyFill="1" applyAlignment="1"/>
    <xf numFmtId="167" fontId="0" fillId="2" borderId="19" xfId="0" applyFont="1" applyFill="1" applyBorder="1" applyAlignment="1">
      <alignment horizontal="center" vertical="center"/>
    </xf>
    <xf numFmtId="167" fontId="0" fillId="2" borderId="20" xfId="0" applyFont="1" applyFill="1" applyBorder="1" applyAlignment="1">
      <alignment horizontal="center" vertical="center"/>
    </xf>
    <xf numFmtId="167" fontId="0" fillId="2" borderId="21" xfId="0" applyFont="1" applyFill="1" applyBorder="1" applyAlignment="1">
      <alignment horizontal="center" vertical="center" wrapText="1"/>
    </xf>
    <xf numFmtId="167" fontId="0" fillId="2" borderId="15" xfId="0" applyFont="1" applyFill="1" applyBorder="1" applyAlignment="1">
      <alignment horizontal="center" vertical="center" wrapText="1"/>
    </xf>
    <xf numFmtId="167" fontId="0" fillId="2" borderId="21" xfId="0" applyFont="1" applyFill="1" applyBorder="1" applyAlignment="1">
      <alignment horizontal="center" vertical="center"/>
    </xf>
    <xf numFmtId="167" fontId="0" fillId="2" borderId="22" xfId="0" applyFont="1" applyFill="1" applyBorder="1" applyAlignment="1">
      <alignment horizontal="center" vertical="center"/>
    </xf>
    <xf numFmtId="167" fontId="0" fillId="2" borderId="15" xfId="0" applyFont="1" applyFill="1" applyBorder="1" applyAlignment="1">
      <alignment horizontal="center" vertical="center"/>
    </xf>
    <xf numFmtId="167" fontId="0" fillId="2" borderId="15" xfId="0" quotePrefix="1" applyFont="1" applyFill="1" applyBorder="1" applyAlignment="1">
      <alignment horizontal="center" vertical="center"/>
    </xf>
    <xf numFmtId="167" fontId="0" fillId="2" borderId="16" xfId="0" quotePrefix="1" applyFont="1" applyFill="1" applyBorder="1" applyAlignment="1">
      <alignment horizontal="center" vertical="center"/>
    </xf>
    <xf numFmtId="0" fontId="0" fillId="2" borderId="19" xfId="47" applyFont="1" applyFill="1" applyBorder="1" applyAlignment="1">
      <alignment horizontal="center" vertical="center"/>
    </xf>
    <xf numFmtId="0" fontId="0" fillId="2" borderId="20" xfId="47" applyFont="1" applyFill="1" applyBorder="1" applyAlignment="1">
      <alignment horizontal="center" vertical="center"/>
    </xf>
    <xf numFmtId="0" fontId="0" fillId="2" borderId="21" xfId="47" applyFont="1" applyFill="1" applyBorder="1" applyAlignment="1">
      <alignment horizontal="center" vertical="center" wrapText="1"/>
    </xf>
    <xf numFmtId="0" fontId="0" fillId="2" borderId="15" xfId="47" applyFont="1" applyFill="1" applyBorder="1" applyAlignment="1">
      <alignment horizontal="center" vertical="center" wrapText="1"/>
    </xf>
    <xf numFmtId="0" fontId="0" fillId="2" borderId="21" xfId="47" applyFont="1" applyFill="1" applyBorder="1" applyAlignment="1">
      <alignment horizontal="center" vertical="center"/>
    </xf>
    <xf numFmtId="0" fontId="0" fillId="2" borderId="22" xfId="47" applyFont="1" applyFill="1" applyBorder="1" applyAlignment="1">
      <alignment horizontal="center" vertical="center"/>
    </xf>
    <xf numFmtId="0" fontId="0" fillId="2" borderId="15" xfId="47" applyFont="1" applyFill="1" applyBorder="1" applyAlignment="1">
      <alignment horizontal="center" vertical="center"/>
    </xf>
    <xf numFmtId="0" fontId="0" fillId="2" borderId="15" xfId="47" quotePrefix="1" applyFont="1" applyFill="1" applyBorder="1" applyAlignment="1">
      <alignment horizontal="center" vertical="center"/>
    </xf>
    <xf numFmtId="0" fontId="0" fillId="2" borderId="16" xfId="47" quotePrefix="1" applyFont="1" applyFill="1" applyBorder="1" applyAlignment="1">
      <alignment horizontal="center" vertical="center"/>
    </xf>
    <xf numFmtId="0" fontId="4" fillId="0" borderId="23" xfId="48" applyFill="1" applyBorder="1" applyAlignment="1">
      <alignment horizontal="center" vertical="center"/>
    </xf>
    <xf numFmtId="167" fontId="0" fillId="0" borderId="0" xfId="0" applyBorder="1" applyAlignment="1">
      <alignment horizontal="center" vertical="center"/>
    </xf>
    <xf numFmtId="167" fontId="0" fillId="0" borderId="1" xfId="0" applyBorder="1" applyAlignment="1">
      <alignment horizontal="center" vertical="center"/>
    </xf>
    <xf numFmtId="0" fontId="4" fillId="0" borderId="24" xfId="48" applyFont="1" applyFill="1" applyBorder="1" applyAlignment="1">
      <alignment horizontal="center" vertical="center" wrapText="1"/>
    </xf>
    <xf numFmtId="167" fontId="0" fillId="0" borderId="2" xfId="0" applyBorder="1" applyAlignment="1">
      <alignment horizontal="center" vertical="center" wrapText="1"/>
    </xf>
    <xf numFmtId="167" fontId="0" fillId="0" borderId="7" xfId="0" applyBorder="1" applyAlignment="1">
      <alignment horizontal="center" vertical="center" wrapText="1"/>
    </xf>
    <xf numFmtId="0" fontId="4" fillId="0" borderId="24" xfId="48" applyFill="1" applyBorder="1" applyAlignment="1">
      <alignment horizontal="center" vertical="center"/>
    </xf>
    <xf numFmtId="167" fontId="0" fillId="0" borderId="7" xfId="0" applyBorder="1" applyAlignment="1">
      <alignment horizontal="center" vertical="center"/>
    </xf>
    <xf numFmtId="0" fontId="4" fillId="0" borderId="25" xfId="48" applyFont="1" applyFill="1" applyBorder="1" applyAlignment="1">
      <alignment horizontal="center" vertical="center" wrapText="1"/>
    </xf>
    <xf numFmtId="167" fontId="0" fillId="0" borderId="26" xfId="0" applyBorder="1" applyAlignment="1">
      <alignment horizontal="center" vertical="center" wrapText="1"/>
    </xf>
    <xf numFmtId="167" fontId="0" fillId="0" borderId="27" xfId="0" applyBorder="1" applyAlignment="1">
      <alignment horizontal="center" vertical="center" wrapText="1"/>
    </xf>
    <xf numFmtId="0" fontId="4" fillId="0" borderId="28" xfId="48" applyFill="1" applyBorder="1" applyAlignment="1">
      <alignment horizontal="center" vertical="center"/>
    </xf>
    <xf numFmtId="167" fontId="0" fillId="0" borderId="3" xfId="0" applyBorder="1" applyAlignment="1">
      <alignment horizontal="center" vertical="center"/>
    </xf>
    <xf numFmtId="167" fontId="0" fillId="0" borderId="29" xfId="0" applyBorder="1" applyAlignment="1">
      <alignment horizontal="center" vertical="center"/>
    </xf>
    <xf numFmtId="0" fontId="4" fillId="0" borderId="9" xfId="48" applyFill="1" applyBorder="1" applyAlignment="1">
      <alignment horizontal="center" vertical="center"/>
    </xf>
    <xf numFmtId="167" fontId="0" fillId="0" borderId="11" xfId="0" applyBorder="1" applyAlignment="1">
      <alignment horizontal="center" vertical="center"/>
    </xf>
    <xf numFmtId="167" fontId="0" fillId="0" borderId="4" xfId="0" applyBorder="1" applyAlignment="1">
      <alignment horizontal="center" vertical="center"/>
    </xf>
    <xf numFmtId="0" fontId="4" fillId="0" borderId="30" xfId="48" applyBorder="1" applyAlignment="1">
      <alignment horizontal="center" vertical="center"/>
    </xf>
    <xf numFmtId="0" fontId="4" fillId="0" borderId="24" xfId="48" applyFont="1" applyBorder="1" applyAlignment="1">
      <alignment horizontal="center" vertical="center" wrapText="1"/>
    </xf>
    <xf numFmtId="0" fontId="4" fillId="0" borderId="24" xfId="48" applyBorder="1" applyAlignment="1">
      <alignment horizontal="center" vertical="center"/>
    </xf>
    <xf numFmtId="0" fontId="4" fillId="0" borderId="23" xfId="48" applyBorder="1" applyAlignment="1">
      <alignment horizontal="center" vertical="center"/>
    </xf>
    <xf numFmtId="0" fontId="4" fillId="0" borderId="30" xfId="48" applyBorder="1" applyAlignment="1">
      <alignment horizontal="center" vertical="center" wrapText="1"/>
    </xf>
    <xf numFmtId="167" fontId="0" fillId="0" borderId="11" xfId="0" applyBorder="1" applyAlignment="1">
      <alignment horizontal="center" vertical="center" wrapText="1"/>
    </xf>
    <xf numFmtId="167" fontId="0" fillId="0" borderId="4" xfId="0" applyBorder="1" applyAlignment="1">
      <alignment horizontal="center" vertical="center" wrapText="1"/>
    </xf>
    <xf numFmtId="0" fontId="4" fillId="0" borderId="24" xfId="48" applyFont="1" applyBorder="1" applyAlignment="1">
      <alignment horizontal="center" vertical="center"/>
    </xf>
    <xf numFmtId="167" fontId="4" fillId="0" borderId="7" xfId="0" applyFont="1" applyBorder="1" applyAlignment="1">
      <alignment horizontal="center" vertical="center"/>
    </xf>
  </cellXfs>
  <cellStyles count="62">
    <cellStyle name="Akzent1" xfId="1" builtinId="29" customBuiltin="1"/>
    <cellStyle name="Akzent2" xfId="2" builtinId="33" customBuiltin="1"/>
    <cellStyle name="Akzent3" xfId="3" builtinId="37" customBuiltin="1"/>
    <cellStyle name="Akzent4" xfId="4" builtinId="41" customBuiltin="1"/>
    <cellStyle name="Akzent5" xfId="5" builtinId="45" customBuiltin="1"/>
    <cellStyle name="Akzent6" xfId="6" builtinId="49" customBuiltin="1"/>
    <cellStyle name="Ausgabe" xfId="7" builtinId="21" customBuiltin="1"/>
    <cellStyle name="Berechnung" xfId="8" builtinId="22" customBuiltin="1"/>
    <cellStyle name="Dez 1" xfId="9"/>
    <cellStyle name="Dez 2" xfId="10"/>
    <cellStyle name="Eingabe" xfId="11" builtinId="20" customBuiltin="1"/>
    <cellStyle name="Ergebnis" xfId="12" builtinId="25" customBuiltin="1"/>
    <cellStyle name="Erklärender Text" xfId="13" builtinId="53" customBuiltin="1"/>
    <cellStyle name="Euro" xfId="14"/>
    <cellStyle name="Euro 2" xfId="15"/>
    <cellStyle name="Euro 2 2" xfId="16"/>
    <cellStyle name="Euro 3" xfId="17"/>
    <cellStyle name="Ganz" xfId="18"/>
    <cellStyle name="Gut" xfId="19" builtinId="26" customBuiltin="1"/>
    <cellStyle name="Neutral" xfId="20" builtinId="28" customBuiltin="1"/>
    <cellStyle name="Notiz 2" xfId="21"/>
    <cellStyle name="Schlecht" xfId="22" builtinId="27" customBuiltin="1"/>
    <cellStyle name="Standard" xfId="0" builtinId="0"/>
    <cellStyle name="Standard 10" xfId="23"/>
    <cellStyle name="Standard 10 2" xfId="24"/>
    <cellStyle name="Standard 11" xfId="25"/>
    <cellStyle name="Standard 12" xfId="26"/>
    <cellStyle name="Standard 12 2" xfId="27"/>
    <cellStyle name="Standard 13" xfId="28"/>
    <cellStyle name="Standard 13 2" xfId="29"/>
    <cellStyle name="Standard 14" xfId="30"/>
    <cellStyle name="Standard 14 2" xfId="31"/>
    <cellStyle name="Standard 15" xfId="32"/>
    <cellStyle name="Standard 16" xfId="33"/>
    <cellStyle name="Standard 2" xfId="34"/>
    <cellStyle name="Standard 2 2" xfId="35"/>
    <cellStyle name="Standard 3" xfId="36"/>
    <cellStyle name="Standard 3 2" xfId="37"/>
    <cellStyle name="Standard 4" xfId="38"/>
    <cellStyle name="Standard 4 2" xfId="39"/>
    <cellStyle name="Standard 5" xfId="40"/>
    <cellStyle name="Standard 6" xfId="41"/>
    <cellStyle name="Standard 7" xfId="42"/>
    <cellStyle name="Standard 7 2" xfId="43"/>
    <cellStyle name="Standard 8" xfId="44"/>
    <cellStyle name="Standard 8 2" xfId="45"/>
    <cellStyle name="Standard 9" xfId="46"/>
    <cellStyle name="Standard_02_27" xfId="47"/>
    <cellStyle name="Standard_1997" xfId="48"/>
    <cellStyle name="Standard_2001" xfId="49"/>
    <cellStyle name="Standard_2002" xfId="50"/>
    <cellStyle name="Standard_2003" xfId="51"/>
    <cellStyle name="Standard_Erläuterungen" xfId="52"/>
    <cellStyle name="U_1 - Formatvorlage1" xfId="53"/>
    <cellStyle name="Überschrift" xfId="54" builtinId="15" customBuiltin="1"/>
    <cellStyle name="Überschrift 1" xfId="55" builtinId="16" customBuiltin="1"/>
    <cellStyle name="Überschrift 2" xfId="56" builtinId="17" customBuiltin="1"/>
    <cellStyle name="Überschrift 3" xfId="57" builtinId="18" customBuiltin="1"/>
    <cellStyle name="Überschrift 4" xfId="58" builtinId="19" customBuiltin="1"/>
    <cellStyle name="Verknüpfte Zelle" xfId="59" builtinId="24" customBuiltin="1"/>
    <cellStyle name="Warnender Text" xfId="60" builtinId="11" customBuiltin="1"/>
    <cellStyle name="Zelle überprüfen" xfId="61" builtinId="23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447675</xdr:colOff>
      <xdr:row>0</xdr:row>
      <xdr:rowOff>133350</xdr:rowOff>
    </xdr:to>
    <xdr:pic>
      <xdr:nvPicPr>
        <xdr:cNvPr id="1066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9718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8696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7675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6663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564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4618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3594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2570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1546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18474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561975</xdr:colOff>
      <xdr:row>0</xdr:row>
      <xdr:rowOff>133350</xdr:rowOff>
    </xdr:to>
    <xdr:pic>
      <xdr:nvPicPr>
        <xdr:cNvPr id="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61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19498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1540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13354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093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3114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4138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516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6186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7210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8234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561975</xdr:colOff>
      <xdr:row>0</xdr:row>
      <xdr:rowOff>133350</xdr:rowOff>
    </xdr:to>
    <xdr:pic>
      <xdr:nvPicPr>
        <xdr:cNvPr id="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61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9258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1028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11306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12330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561975</xdr:colOff>
      <xdr:row>0</xdr:row>
      <xdr:rowOff>133350</xdr:rowOff>
    </xdr:to>
    <xdr:pic>
      <xdr:nvPicPr>
        <xdr:cNvPr id="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61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561975</xdr:colOff>
      <xdr:row>0</xdr:row>
      <xdr:rowOff>133350</xdr:rowOff>
    </xdr:to>
    <xdr:pic>
      <xdr:nvPicPr>
        <xdr:cNvPr id="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33794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32773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31753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30733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QL1STAT1\DOCSOPEN\PROJEKTE\DOCSOPEN\STAT1\T1B1-A\1601!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läuterungen"/>
      <sheetName val="seit 1990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5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7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8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19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0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1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2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3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4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5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27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28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29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I44"/>
  <sheetViews>
    <sheetView showGridLines="0" workbookViewId="0">
      <selection activeCell="B34" sqref="B34"/>
    </sheetView>
  </sheetViews>
  <sheetFormatPr baseColWidth="10" defaultColWidth="12" defaultRowHeight="12.75" customHeight="1" x14ac:dyDescent="0.2"/>
  <cols>
    <col min="1" max="1" width="2.83203125" style="28" customWidth="1"/>
    <col min="2" max="2" width="104.83203125" style="28" customWidth="1"/>
    <col min="3" max="8" width="12" style="28"/>
    <col min="9" max="9" width="17.6640625" style="28" customWidth="1"/>
    <col min="10" max="16384" width="12" style="28"/>
  </cols>
  <sheetData>
    <row r="1" spans="1:9" ht="12.75" customHeight="1" x14ac:dyDescent="0.2">
      <c r="A1" s="32"/>
      <c r="B1" s="33"/>
    </row>
    <row r="2" spans="1:9" ht="12.75" customHeight="1" x14ac:dyDescent="0.2">
      <c r="A2" s="34"/>
      <c r="B2" s="35" t="s">
        <v>73</v>
      </c>
      <c r="C2" s="30"/>
    </row>
    <row r="3" spans="1:9" ht="12.75" customHeight="1" x14ac:dyDescent="0.2">
      <c r="A3" s="36"/>
      <c r="B3" s="37"/>
      <c r="C3" s="30"/>
    </row>
    <row r="4" spans="1:9" ht="12.75" customHeight="1" x14ac:dyDescent="0.2">
      <c r="A4" s="32"/>
      <c r="B4" s="33"/>
      <c r="C4" s="30"/>
    </row>
    <row r="5" spans="1:9" ht="12.75" customHeight="1" x14ac:dyDescent="0.2">
      <c r="A5" s="34"/>
      <c r="B5" s="44" t="s">
        <v>71</v>
      </c>
      <c r="C5" s="31"/>
      <c r="D5" s="29"/>
      <c r="E5" s="29"/>
      <c r="F5" s="29"/>
      <c r="G5" s="29"/>
      <c r="H5" s="29"/>
      <c r="I5" s="29"/>
    </row>
    <row r="6" spans="1:9" ht="12.75" customHeight="1" x14ac:dyDescent="0.2">
      <c r="A6" s="34"/>
      <c r="B6" s="44" t="s">
        <v>0</v>
      </c>
      <c r="C6" s="31"/>
      <c r="D6" s="29"/>
      <c r="E6" s="29"/>
      <c r="F6" s="29"/>
      <c r="G6" s="29"/>
      <c r="H6" s="29"/>
      <c r="I6" s="29"/>
    </row>
    <row r="7" spans="1:9" ht="12.75" customHeight="1" x14ac:dyDescent="0.2">
      <c r="A7" s="36"/>
      <c r="B7" s="37"/>
    </row>
    <row r="8" spans="1:9" ht="12.75" customHeight="1" x14ac:dyDescent="0.2">
      <c r="A8" s="38"/>
      <c r="B8" s="45"/>
    </row>
    <row r="9" spans="1:9" ht="12.75" customHeight="1" x14ac:dyDescent="0.2">
      <c r="A9" s="40"/>
      <c r="B9" s="41" t="s">
        <v>39</v>
      </c>
    </row>
    <row r="10" spans="1:9" ht="12.75" customHeight="1" x14ac:dyDescent="0.2">
      <c r="A10" s="40"/>
      <c r="B10" s="46"/>
    </row>
    <row r="11" spans="1:9" ht="12.75" customHeight="1" x14ac:dyDescent="0.2">
      <c r="A11" s="40"/>
      <c r="B11" s="46" t="s">
        <v>67</v>
      </c>
    </row>
    <row r="12" spans="1:9" ht="12.75" customHeight="1" x14ac:dyDescent="0.2">
      <c r="A12" s="40"/>
      <c r="B12" s="47" t="s">
        <v>68</v>
      </c>
    </row>
    <row r="13" spans="1:9" ht="12.75" customHeight="1" x14ac:dyDescent="0.2">
      <c r="A13" s="40"/>
      <c r="B13" s="47" t="s">
        <v>69</v>
      </c>
    </row>
    <row r="14" spans="1:9" ht="12.75" customHeight="1" x14ac:dyDescent="0.2">
      <c r="A14" s="40"/>
      <c r="B14" s="47" t="s">
        <v>70</v>
      </c>
    </row>
    <row r="15" spans="1:9" ht="12.75" customHeight="1" x14ac:dyDescent="0.2">
      <c r="A15" s="40"/>
      <c r="B15" s="47"/>
    </row>
    <row r="16" spans="1:9" ht="12.75" customHeight="1" x14ac:dyDescent="0.2">
      <c r="A16" s="40"/>
      <c r="B16" s="47" t="s">
        <v>72</v>
      </c>
    </row>
    <row r="17" spans="1:2" ht="12.75" customHeight="1" x14ac:dyDescent="0.2">
      <c r="A17" s="40"/>
      <c r="B17" s="46" t="s">
        <v>40</v>
      </c>
    </row>
    <row r="18" spans="1:2" ht="12.75" customHeight="1" x14ac:dyDescent="0.2">
      <c r="A18" s="40"/>
      <c r="B18" s="47" t="s">
        <v>41</v>
      </c>
    </row>
    <row r="19" spans="1:2" ht="12.75" customHeight="1" x14ac:dyDescent="0.2">
      <c r="A19" s="42"/>
      <c r="B19" s="43"/>
    </row>
    <row r="20" spans="1:2" ht="12.75" customHeight="1" x14ac:dyDescent="0.2">
      <c r="A20" s="38"/>
      <c r="B20" s="39"/>
    </row>
    <row r="21" spans="1:2" ht="12.75" customHeight="1" x14ac:dyDescent="0.2">
      <c r="A21" s="40"/>
      <c r="B21" s="41" t="s">
        <v>42</v>
      </c>
    </row>
    <row r="22" spans="1:2" ht="12.75" customHeight="1" x14ac:dyDescent="0.2">
      <c r="A22" s="40"/>
      <c r="B22" s="47"/>
    </row>
    <row r="23" spans="1:2" ht="12.75" customHeight="1" x14ac:dyDescent="0.2">
      <c r="A23" s="40"/>
      <c r="B23" s="46" t="s">
        <v>43</v>
      </c>
    </row>
    <row r="24" spans="1:2" ht="12.75" customHeight="1" x14ac:dyDescent="0.2">
      <c r="A24" s="40"/>
      <c r="B24" s="47" t="s">
        <v>44</v>
      </c>
    </row>
    <row r="25" spans="1:2" ht="12.75" customHeight="1" x14ac:dyDescent="0.2">
      <c r="A25" s="42"/>
      <c r="B25" s="43"/>
    </row>
    <row r="26" spans="1:2" ht="12.75" customHeight="1" x14ac:dyDescent="0.2">
      <c r="A26" s="38"/>
      <c r="B26" s="39"/>
    </row>
    <row r="27" spans="1:2" ht="12.75" customHeight="1" x14ac:dyDescent="0.2">
      <c r="A27" s="40"/>
      <c r="B27" s="41" t="s">
        <v>45</v>
      </c>
    </row>
    <row r="28" spans="1:2" ht="12.75" customHeight="1" x14ac:dyDescent="0.2">
      <c r="A28" s="40"/>
      <c r="B28" s="47"/>
    </row>
    <row r="29" spans="1:2" ht="12.75" customHeight="1" x14ac:dyDescent="0.2">
      <c r="A29" s="40"/>
      <c r="B29" s="140" t="s">
        <v>100</v>
      </c>
    </row>
    <row r="30" spans="1:2" ht="12.75" customHeight="1" x14ac:dyDescent="0.2">
      <c r="A30" s="40"/>
      <c r="B30" s="47"/>
    </row>
    <row r="31" spans="1:2" ht="12.75" customHeight="1" x14ac:dyDescent="0.2">
      <c r="A31" s="40"/>
      <c r="B31" s="47" t="s">
        <v>46</v>
      </c>
    </row>
    <row r="32" spans="1:2" ht="12.75" customHeight="1" x14ac:dyDescent="0.2">
      <c r="A32" s="40"/>
      <c r="B32" s="47" t="s">
        <v>47</v>
      </c>
    </row>
    <row r="33" spans="1:2" ht="12.75" customHeight="1" x14ac:dyDescent="0.2">
      <c r="A33" s="40"/>
      <c r="B33" s="141" t="s">
        <v>101</v>
      </c>
    </row>
    <row r="34" spans="1:2" ht="12.75" customHeight="1" x14ac:dyDescent="0.2">
      <c r="A34" s="42"/>
      <c r="B34" s="43"/>
    </row>
    <row r="35" spans="1:2" ht="12.75" customHeight="1" x14ac:dyDescent="0.2">
      <c r="A35" s="38"/>
      <c r="B35" s="39"/>
    </row>
    <row r="36" spans="1:2" ht="12.75" customHeight="1" x14ac:dyDescent="0.2">
      <c r="A36" s="40"/>
      <c r="B36" s="41" t="s">
        <v>48</v>
      </c>
    </row>
    <row r="37" spans="1:2" ht="12.75" customHeight="1" x14ac:dyDescent="0.2">
      <c r="A37" s="40"/>
      <c r="B37" s="47"/>
    </row>
    <row r="38" spans="1:2" ht="12.75" customHeight="1" x14ac:dyDescent="0.2">
      <c r="A38" s="40"/>
      <c r="B38" s="46" t="s">
        <v>51</v>
      </c>
    </row>
    <row r="39" spans="1:2" ht="12.75" customHeight="1" x14ac:dyDescent="0.2">
      <c r="A39" s="42"/>
      <c r="B39" s="43"/>
    </row>
    <row r="40" spans="1:2" ht="12.75" customHeight="1" x14ac:dyDescent="0.2">
      <c r="A40" s="38"/>
      <c r="B40" s="39"/>
    </row>
    <row r="41" spans="1:2" ht="12.75" customHeight="1" x14ac:dyDescent="0.2">
      <c r="A41" s="40"/>
      <c r="B41" s="48" t="s">
        <v>49</v>
      </c>
    </row>
    <row r="42" spans="1:2" ht="12.75" customHeight="1" x14ac:dyDescent="0.2">
      <c r="A42" s="40"/>
      <c r="B42" s="47"/>
    </row>
    <row r="43" spans="1:2" ht="12.75" customHeight="1" x14ac:dyDescent="0.2">
      <c r="A43" s="40"/>
      <c r="B43" s="47" t="s">
        <v>50</v>
      </c>
    </row>
    <row r="44" spans="1:2" ht="12.75" customHeight="1" x14ac:dyDescent="0.2">
      <c r="A44" s="42"/>
      <c r="B44" s="43"/>
    </row>
  </sheetData>
  <phoneticPr fontId="0" type="noConversion"/>
  <pageMargins left="0.78740157480314998" right="0.78740157480314998" top="0.78740157480314998" bottom="0.78740157480314998" header="0.511811023622047" footer="0.511811023622047"/>
  <pageSetup paperSize="9" orientation="portrait" horizontalDpi="4294967292" verticalDpi="300" r:id="rId1"/>
  <headerFooter alignWithMargins="0">
    <oddFooter>&amp;L&amp;8Landeshauptstadt Stuttgart, Statistisches Amt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7"/>
  <sheetViews>
    <sheetView workbookViewId="0">
      <selection activeCell="F1" sqref="F1"/>
    </sheetView>
  </sheetViews>
  <sheetFormatPr baseColWidth="10" defaultColWidth="9.83203125" defaultRowHeight="12.75" customHeight="1" x14ac:dyDescent="0.2"/>
  <cols>
    <col min="1" max="1" width="21.1640625" style="117" customWidth="1"/>
    <col min="2" max="2" width="10.5" style="117" customWidth="1"/>
    <col min="3" max="3" width="9.6640625" style="117" customWidth="1"/>
    <col min="4" max="4" width="9.1640625" style="117" customWidth="1"/>
    <col min="5" max="7" width="9" style="117" customWidth="1"/>
    <col min="8" max="8" width="10.6640625" style="117" customWidth="1"/>
    <col min="9" max="10" width="9" style="117" customWidth="1"/>
    <col min="11" max="11" width="11.5" style="117" bestFit="1" customWidth="1"/>
    <col min="12" max="16384" width="9.83203125" style="117"/>
  </cols>
  <sheetData>
    <row r="1" spans="1:11" ht="12.75" customHeight="1" x14ac:dyDescent="0.2">
      <c r="A1" s="49" t="s">
        <v>77</v>
      </c>
      <c r="B1" s="49"/>
      <c r="C1" s="49"/>
      <c r="D1" s="49"/>
      <c r="E1" s="49"/>
      <c r="F1" s="49"/>
      <c r="G1" s="49"/>
      <c r="H1" s="87"/>
      <c r="I1" s="87"/>
      <c r="J1" s="87"/>
      <c r="K1" s="87"/>
    </row>
    <row r="3" spans="1:11" ht="12.6" customHeight="1" x14ac:dyDescent="0.2">
      <c r="A3" s="135" t="s">
        <v>98</v>
      </c>
      <c r="B3" s="119"/>
      <c r="C3" s="119"/>
      <c r="D3" s="119"/>
      <c r="E3" s="119"/>
      <c r="F3" s="119"/>
      <c r="G3" s="119"/>
      <c r="H3" s="119"/>
      <c r="I3" s="119"/>
      <c r="J3" s="119"/>
      <c r="K3" s="119"/>
    </row>
    <row r="4" spans="1:11" ht="12.6" customHeight="1" x14ac:dyDescent="0.2">
      <c r="A4" s="120" t="s">
        <v>78</v>
      </c>
      <c r="B4" s="119"/>
      <c r="C4" s="119"/>
      <c r="D4" s="119"/>
      <c r="E4" s="119"/>
      <c r="F4" s="119"/>
      <c r="G4" s="119"/>
      <c r="H4" s="119"/>
      <c r="I4" s="119"/>
      <c r="J4" s="119"/>
      <c r="K4" s="119"/>
    </row>
    <row r="5" spans="1:11" ht="12.6" customHeight="1" x14ac:dyDescent="0.2">
      <c r="A5" s="121"/>
      <c r="B5" s="122"/>
      <c r="C5" s="122"/>
      <c r="D5" s="122"/>
      <c r="E5" s="122"/>
      <c r="F5" s="122"/>
      <c r="G5" s="122"/>
      <c r="H5" s="122"/>
      <c r="I5" s="122"/>
      <c r="J5" s="122"/>
      <c r="K5" s="122"/>
    </row>
    <row r="6" spans="1:11" ht="12.6" customHeight="1" thickBot="1" x14ac:dyDescent="0.25">
      <c r="A6" s="154" t="s">
        <v>2</v>
      </c>
      <c r="B6" s="156" t="s">
        <v>92</v>
      </c>
      <c r="C6" s="158" t="s">
        <v>74</v>
      </c>
      <c r="D6" s="158"/>
      <c r="E6" s="158"/>
      <c r="F6" s="158"/>
      <c r="G6" s="158"/>
      <c r="H6" s="158"/>
      <c r="I6" s="158"/>
      <c r="J6" s="158"/>
      <c r="K6" s="159"/>
    </row>
    <row r="7" spans="1:11" ht="12.6" customHeight="1" thickBot="1" x14ac:dyDescent="0.25">
      <c r="A7" s="155"/>
      <c r="B7" s="157"/>
      <c r="C7" s="160" t="s">
        <v>3</v>
      </c>
      <c r="D7" s="160" t="s">
        <v>4</v>
      </c>
      <c r="E7" s="160"/>
      <c r="F7" s="160"/>
      <c r="G7" s="160"/>
      <c r="H7" s="157" t="s">
        <v>75</v>
      </c>
      <c r="I7" s="160" t="s">
        <v>6</v>
      </c>
      <c r="J7" s="161" t="s">
        <v>7</v>
      </c>
      <c r="K7" s="162"/>
    </row>
    <row r="8" spans="1:11" ht="12.6" customHeight="1" thickBot="1" x14ac:dyDescent="0.25">
      <c r="A8" s="155"/>
      <c r="B8" s="157"/>
      <c r="C8" s="160"/>
      <c r="D8" s="123">
        <v>1</v>
      </c>
      <c r="E8" s="123">
        <v>2</v>
      </c>
      <c r="F8" s="123">
        <v>3</v>
      </c>
      <c r="G8" s="123" t="s">
        <v>8</v>
      </c>
      <c r="H8" s="157"/>
      <c r="I8" s="160"/>
      <c r="J8" s="123" t="s">
        <v>10</v>
      </c>
      <c r="K8" s="124" t="s">
        <v>11</v>
      </c>
    </row>
    <row r="9" spans="1:11" ht="12.6" customHeight="1" x14ac:dyDescent="0.2">
      <c r="A9" s="125"/>
      <c r="B9" s="122"/>
      <c r="C9" s="122"/>
      <c r="D9" s="122"/>
      <c r="E9" s="122"/>
      <c r="F9" s="122"/>
      <c r="G9" s="122"/>
      <c r="H9" s="122"/>
      <c r="I9" s="122"/>
      <c r="J9" s="122"/>
      <c r="K9" s="122"/>
    </row>
    <row r="10" spans="1:11" ht="12.6" customHeight="1" x14ac:dyDescent="0.2">
      <c r="A10" s="126" t="s">
        <v>12</v>
      </c>
      <c r="B10" s="99">
        <v>14889</v>
      </c>
      <c r="C10" s="99">
        <f>SUM(D10:G10)</f>
        <v>1447</v>
      </c>
      <c r="D10" s="99">
        <v>835</v>
      </c>
      <c r="E10" s="99">
        <v>479</v>
      </c>
      <c r="F10" s="99">
        <v>90</v>
      </c>
      <c r="G10" s="99">
        <v>43</v>
      </c>
      <c r="H10" s="100">
        <v>1.56185210780926</v>
      </c>
      <c r="I10" s="99">
        <f>C10-J10</f>
        <v>1095</v>
      </c>
      <c r="J10" s="99">
        <v>352</v>
      </c>
      <c r="K10" s="101">
        <f t="shared" ref="K10:K15" si="0">+J10/C10*100</f>
        <v>24.32619212163096</v>
      </c>
    </row>
    <row r="11" spans="1:11" ht="12.6" customHeight="1" x14ac:dyDescent="0.2">
      <c r="A11" s="126" t="s">
        <v>13</v>
      </c>
      <c r="B11" s="99">
        <v>14257</v>
      </c>
      <c r="C11" s="99">
        <f>SUM(D11:G11)</f>
        <v>2545</v>
      </c>
      <c r="D11" s="99">
        <v>1328</v>
      </c>
      <c r="E11" s="99">
        <v>881</v>
      </c>
      <c r="F11" s="99">
        <v>267</v>
      </c>
      <c r="G11" s="99">
        <v>69</v>
      </c>
      <c r="H11" s="100">
        <v>1.6455795677799598</v>
      </c>
      <c r="I11" s="99">
        <f>C11-J11</f>
        <v>1975</v>
      </c>
      <c r="J11" s="99">
        <v>570</v>
      </c>
      <c r="K11" s="101">
        <f t="shared" si="0"/>
        <v>22.396856581532418</v>
      </c>
    </row>
    <row r="12" spans="1:11" ht="12.6" customHeight="1" x14ac:dyDescent="0.2">
      <c r="A12" s="126" t="s">
        <v>14</v>
      </c>
      <c r="B12" s="99">
        <v>27073</v>
      </c>
      <c r="C12" s="99">
        <f>SUM(D12:G12)</f>
        <v>4303</v>
      </c>
      <c r="D12" s="99">
        <v>2374</v>
      </c>
      <c r="E12" s="99">
        <v>1445</v>
      </c>
      <c r="F12" s="99">
        <v>396</v>
      </c>
      <c r="G12" s="99">
        <v>88</v>
      </c>
      <c r="H12" s="100">
        <v>1.5863351150360199</v>
      </c>
      <c r="I12" s="99">
        <f>C12-J12</f>
        <v>3184</v>
      </c>
      <c r="J12" s="99">
        <v>1119</v>
      </c>
      <c r="K12" s="101">
        <f t="shared" si="0"/>
        <v>26.005112712061351</v>
      </c>
    </row>
    <row r="13" spans="1:11" ht="12.6" customHeight="1" x14ac:dyDescent="0.2">
      <c r="A13" s="126" t="s">
        <v>15</v>
      </c>
      <c r="B13" s="99">
        <v>25719</v>
      </c>
      <c r="C13" s="99">
        <f>SUM(D13:G13)</f>
        <v>3692</v>
      </c>
      <c r="D13" s="99">
        <v>1978</v>
      </c>
      <c r="E13" s="99">
        <v>1337</v>
      </c>
      <c r="F13" s="99">
        <v>319</v>
      </c>
      <c r="G13" s="99">
        <v>58</v>
      </c>
      <c r="H13" s="100">
        <v>1.5858613217768101</v>
      </c>
      <c r="I13" s="99">
        <f>C13-J13</f>
        <v>2912</v>
      </c>
      <c r="J13" s="99">
        <v>780</v>
      </c>
      <c r="K13" s="101">
        <f t="shared" si="0"/>
        <v>21.12676056338028</v>
      </c>
    </row>
    <row r="14" spans="1:11" ht="12.6" customHeight="1" x14ac:dyDescent="0.2">
      <c r="A14" s="126" t="s">
        <v>16</v>
      </c>
      <c r="B14" s="99">
        <v>31245</v>
      </c>
      <c r="C14" s="99">
        <f>SUM(D14:G14)</f>
        <v>4134</v>
      </c>
      <c r="D14" s="99">
        <v>2288</v>
      </c>
      <c r="E14" s="99">
        <v>1447</v>
      </c>
      <c r="F14" s="99">
        <v>337</v>
      </c>
      <c r="G14" s="99">
        <v>62</v>
      </c>
      <c r="H14" s="100">
        <v>1.56192549588776</v>
      </c>
      <c r="I14" s="99">
        <f>C14-J14</f>
        <v>3243</v>
      </c>
      <c r="J14" s="99">
        <v>891</v>
      </c>
      <c r="K14" s="101">
        <f t="shared" si="0"/>
        <v>21.55297532656023</v>
      </c>
    </row>
    <row r="15" spans="1:11" ht="17.100000000000001" customHeight="1" x14ac:dyDescent="0.2">
      <c r="A15" s="128" t="s">
        <v>17</v>
      </c>
      <c r="B15" s="99">
        <f t="shared" ref="B15:G15" si="1">SUM(B10:B14)</f>
        <v>113183</v>
      </c>
      <c r="C15" s="99">
        <f t="shared" si="1"/>
        <v>16121</v>
      </c>
      <c r="D15" s="99">
        <f t="shared" si="1"/>
        <v>8803</v>
      </c>
      <c r="E15" s="99">
        <f t="shared" si="1"/>
        <v>5589</v>
      </c>
      <c r="F15" s="99">
        <f t="shared" si="1"/>
        <v>1409</v>
      </c>
      <c r="G15" s="99">
        <f t="shared" si="1"/>
        <v>320</v>
      </c>
      <c r="H15" s="100">
        <v>1.58</v>
      </c>
      <c r="I15" s="99">
        <f>SUM(I10:I14)</f>
        <v>12409</v>
      </c>
      <c r="J15" s="99">
        <f>SUM(J10:J14)</f>
        <v>3712</v>
      </c>
      <c r="K15" s="101">
        <f t="shared" si="0"/>
        <v>23.025866881707092</v>
      </c>
    </row>
    <row r="16" spans="1:11" ht="12.6" customHeight="1" x14ac:dyDescent="0.2">
      <c r="A16" s="126" t="s">
        <v>18</v>
      </c>
      <c r="B16" s="99">
        <v>36377</v>
      </c>
      <c r="C16" s="99">
        <f t="shared" ref="C16:C33" si="2">SUM(D16:G16)</f>
        <v>7077</v>
      </c>
      <c r="D16" s="99">
        <v>3588</v>
      </c>
      <c r="E16" s="99">
        <v>2542</v>
      </c>
      <c r="F16" s="99">
        <v>765</v>
      </c>
      <c r="G16" s="99">
        <v>182</v>
      </c>
      <c r="H16" s="100">
        <v>1.6596015260703698</v>
      </c>
      <c r="I16" s="99">
        <f>C16-J16</f>
        <v>5453</v>
      </c>
      <c r="J16" s="99">
        <v>1624</v>
      </c>
      <c r="K16" s="101">
        <f t="shared" ref="K16:K33" si="3">+J16/C16*100</f>
        <v>22.947576656775471</v>
      </c>
    </row>
    <row r="17" spans="1:11" ht="12.6" customHeight="1" x14ac:dyDescent="0.2">
      <c r="A17" s="126" t="s">
        <v>19</v>
      </c>
      <c r="B17" s="99">
        <v>3518</v>
      </c>
      <c r="C17" s="99">
        <f t="shared" si="2"/>
        <v>602</v>
      </c>
      <c r="D17" s="99">
        <v>253</v>
      </c>
      <c r="E17" s="99">
        <v>263</v>
      </c>
      <c r="F17" s="99">
        <v>68</v>
      </c>
      <c r="G17" s="99">
        <v>18</v>
      </c>
      <c r="H17" s="100">
        <v>1.7558139534883699</v>
      </c>
      <c r="I17" s="99">
        <f t="shared" ref="I17:I33" si="4">C17-J17</f>
        <v>472</v>
      </c>
      <c r="J17" s="99">
        <v>130</v>
      </c>
      <c r="K17" s="101">
        <f t="shared" si="3"/>
        <v>21.59468438538206</v>
      </c>
    </row>
    <row r="18" spans="1:11" ht="12.6" customHeight="1" x14ac:dyDescent="0.2">
      <c r="A18" s="126" t="s">
        <v>20</v>
      </c>
      <c r="B18" s="99">
        <v>6590</v>
      </c>
      <c r="C18" s="99">
        <f t="shared" si="2"/>
        <v>1265</v>
      </c>
      <c r="D18" s="99">
        <v>583</v>
      </c>
      <c r="E18" s="99">
        <v>506</v>
      </c>
      <c r="F18" s="99">
        <v>132</v>
      </c>
      <c r="G18" s="99">
        <v>44</v>
      </c>
      <c r="H18" s="100">
        <v>1.7225296442687699</v>
      </c>
      <c r="I18" s="99">
        <f t="shared" si="4"/>
        <v>1019</v>
      </c>
      <c r="J18" s="99">
        <v>246</v>
      </c>
      <c r="K18" s="101">
        <f t="shared" si="3"/>
        <v>19.446640316205531</v>
      </c>
    </row>
    <row r="19" spans="1:11" ht="12.6" customHeight="1" x14ac:dyDescent="0.2">
      <c r="A19" s="126" t="s">
        <v>21</v>
      </c>
      <c r="B19" s="99">
        <v>8625</v>
      </c>
      <c r="C19" s="99">
        <f t="shared" si="2"/>
        <v>1561</v>
      </c>
      <c r="D19" s="99">
        <v>777</v>
      </c>
      <c r="E19" s="99">
        <v>610</v>
      </c>
      <c r="F19" s="99">
        <v>154</v>
      </c>
      <c r="G19" s="99">
        <v>20</v>
      </c>
      <c r="H19" s="100">
        <v>1.6297245355541299</v>
      </c>
      <c r="I19" s="99">
        <f t="shared" si="4"/>
        <v>1282</v>
      </c>
      <c r="J19" s="99">
        <v>279</v>
      </c>
      <c r="K19" s="101">
        <f t="shared" si="3"/>
        <v>17.873158231902629</v>
      </c>
    </row>
    <row r="20" spans="1:11" ht="12.6" customHeight="1" x14ac:dyDescent="0.2">
      <c r="A20" s="126" t="s">
        <v>22</v>
      </c>
      <c r="B20" s="99">
        <v>15217</v>
      </c>
      <c r="C20" s="99">
        <f t="shared" si="2"/>
        <v>2829</v>
      </c>
      <c r="D20" s="99">
        <v>1409</v>
      </c>
      <c r="E20" s="99">
        <v>1075</v>
      </c>
      <c r="F20" s="99">
        <v>286</v>
      </c>
      <c r="G20" s="99">
        <v>59</v>
      </c>
      <c r="H20" s="100">
        <v>1.64899257688229</v>
      </c>
      <c r="I20" s="99">
        <f t="shared" si="4"/>
        <v>2276</v>
      </c>
      <c r="J20" s="99">
        <v>553</v>
      </c>
      <c r="K20" s="101">
        <f t="shared" si="3"/>
        <v>19.547543301519969</v>
      </c>
    </row>
    <row r="21" spans="1:11" ht="12.6" customHeight="1" x14ac:dyDescent="0.2">
      <c r="A21" s="126" t="s">
        <v>23</v>
      </c>
      <c r="B21" s="99">
        <v>5010</v>
      </c>
      <c r="C21" s="99">
        <f t="shared" si="2"/>
        <v>991</v>
      </c>
      <c r="D21" s="99">
        <v>485</v>
      </c>
      <c r="E21" s="99">
        <v>362</v>
      </c>
      <c r="F21" s="99">
        <v>115</v>
      </c>
      <c r="G21" s="99">
        <v>29</v>
      </c>
      <c r="H21" s="100">
        <v>1.6892028254288598</v>
      </c>
      <c r="I21" s="99">
        <f t="shared" si="4"/>
        <v>806</v>
      </c>
      <c r="J21" s="99">
        <v>185</v>
      </c>
      <c r="K21" s="101">
        <f t="shared" si="3"/>
        <v>18.668012108980829</v>
      </c>
    </row>
    <row r="22" spans="1:11" ht="12.6" customHeight="1" x14ac:dyDescent="0.2">
      <c r="A22" s="126" t="s">
        <v>24</v>
      </c>
      <c r="B22" s="99">
        <v>16236</v>
      </c>
      <c r="C22" s="99">
        <f t="shared" si="2"/>
        <v>3018</v>
      </c>
      <c r="D22" s="99">
        <v>1550</v>
      </c>
      <c r="E22" s="99">
        <v>1124</v>
      </c>
      <c r="F22" s="99">
        <v>286</v>
      </c>
      <c r="G22" s="99">
        <v>58</v>
      </c>
      <c r="H22" s="100">
        <v>1.6239231278992701</v>
      </c>
      <c r="I22" s="99">
        <f t="shared" si="4"/>
        <v>2507</v>
      </c>
      <c r="J22" s="99">
        <v>511</v>
      </c>
      <c r="K22" s="101">
        <f t="shared" si="3"/>
        <v>16.931742876076871</v>
      </c>
    </row>
    <row r="23" spans="1:11" ht="12.6" customHeight="1" x14ac:dyDescent="0.2">
      <c r="A23" s="126" t="s">
        <v>25</v>
      </c>
      <c r="B23" s="99">
        <v>12208</v>
      </c>
      <c r="C23" s="99">
        <f t="shared" si="2"/>
        <v>2462</v>
      </c>
      <c r="D23" s="99">
        <v>1261</v>
      </c>
      <c r="E23" s="99">
        <v>873</v>
      </c>
      <c r="F23" s="99">
        <v>260</v>
      </c>
      <c r="G23" s="99">
        <v>68</v>
      </c>
      <c r="H23" s="100">
        <v>1.6563769293257498</v>
      </c>
      <c r="I23" s="99">
        <f t="shared" si="4"/>
        <v>1915</v>
      </c>
      <c r="J23" s="99">
        <v>547</v>
      </c>
      <c r="K23" s="101">
        <f t="shared" si="3"/>
        <v>22.217709179528839</v>
      </c>
    </row>
    <row r="24" spans="1:11" ht="12.6" customHeight="1" x14ac:dyDescent="0.2">
      <c r="A24" s="126" t="s">
        <v>26</v>
      </c>
      <c r="B24" s="99">
        <v>3352</v>
      </c>
      <c r="C24" s="99">
        <f t="shared" si="2"/>
        <v>561</v>
      </c>
      <c r="D24" s="99">
        <v>287</v>
      </c>
      <c r="E24" s="99">
        <v>208</v>
      </c>
      <c r="F24" s="99">
        <v>52</v>
      </c>
      <c r="G24" s="99">
        <v>14</v>
      </c>
      <c r="H24" s="100">
        <v>1.6399286987522299</v>
      </c>
      <c r="I24" s="99">
        <f t="shared" si="4"/>
        <v>446</v>
      </c>
      <c r="J24" s="99">
        <v>115</v>
      </c>
      <c r="K24" s="101">
        <f t="shared" si="3"/>
        <v>20.499108734402853</v>
      </c>
    </row>
    <row r="25" spans="1:11" ht="12.6" customHeight="1" x14ac:dyDescent="0.2">
      <c r="A25" s="126" t="s">
        <v>27</v>
      </c>
      <c r="B25" s="99">
        <v>4219</v>
      </c>
      <c r="C25" s="99">
        <f t="shared" si="2"/>
        <v>865</v>
      </c>
      <c r="D25" s="99">
        <v>428</v>
      </c>
      <c r="E25" s="99">
        <v>319</v>
      </c>
      <c r="F25" s="99">
        <v>98</v>
      </c>
      <c r="G25" s="99">
        <v>20</v>
      </c>
      <c r="H25" s="100">
        <v>1.6705202312138701</v>
      </c>
      <c r="I25" s="99">
        <f t="shared" si="4"/>
        <v>663</v>
      </c>
      <c r="J25" s="99">
        <v>202</v>
      </c>
      <c r="K25" s="101">
        <f t="shared" si="3"/>
        <v>23.352601156069362</v>
      </c>
    </row>
    <row r="26" spans="1:11" ht="12.6" customHeight="1" x14ac:dyDescent="0.2">
      <c r="A26" s="126" t="s">
        <v>28</v>
      </c>
      <c r="B26" s="99">
        <v>7113</v>
      </c>
      <c r="C26" s="99">
        <f t="shared" si="2"/>
        <v>1136</v>
      </c>
      <c r="D26" s="99">
        <v>538</v>
      </c>
      <c r="E26" s="99">
        <v>474</v>
      </c>
      <c r="F26" s="99">
        <v>99</v>
      </c>
      <c r="G26" s="99">
        <v>25</v>
      </c>
      <c r="H26" s="100">
        <v>1.6610915492957699</v>
      </c>
      <c r="I26" s="99">
        <f t="shared" si="4"/>
        <v>917</v>
      </c>
      <c r="J26" s="99">
        <v>219</v>
      </c>
      <c r="K26" s="101">
        <f t="shared" si="3"/>
        <v>19.278169014084508</v>
      </c>
    </row>
    <row r="27" spans="1:11" ht="12.6" customHeight="1" x14ac:dyDescent="0.2">
      <c r="A27" s="126" t="s">
        <v>29</v>
      </c>
      <c r="B27" s="99">
        <v>12152</v>
      </c>
      <c r="C27" s="99">
        <f t="shared" si="2"/>
        <v>2337</v>
      </c>
      <c r="D27" s="99">
        <v>1112</v>
      </c>
      <c r="E27" s="99">
        <v>953</v>
      </c>
      <c r="F27" s="99">
        <v>234</v>
      </c>
      <c r="G27" s="99">
        <v>38</v>
      </c>
      <c r="H27" s="100">
        <v>1.6615318784766799</v>
      </c>
      <c r="I27" s="99">
        <f t="shared" si="4"/>
        <v>1845</v>
      </c>
      <c r="J27" s="99">
        <v>492</v>
      </c>
      <c r="K27" s="101">
        <f t="shared" si="3"/>
        <v>21.052631578947366</v>
      </c>
    </row>
    <row r="28" spans="1:11" ht="12.6" customHeight="1" x14ac:dyDescent="0.2">
      <c r="A28" s="126" t="s">
        <v>30</v>
      </c>
      <c r="B28" s="99">
        <v>5944</v>
      </c>
      <c r="C28" s="99">
        <f t="shared" si="2"/>
        <v>1161</v>
      </c>
      <c r="D28" s="99">
        <v>611</v>
      </c>
      <c r="E28" s="99">
        <v>428</v>
      </c>
      <c r="F28" s="99">
        <v>108</v>
      </c>
      <c r="G28" s="99">
        <v>14</v>
      </c>
      <c r="H28" s="100">
        <v>1.5934539190353101</v>
      </c>
      <c r="I28" s="99">
        <f t="shared" si="4"/>
        <v>918</v>
      </c>
      <c r="J28" s="99">
        <v>243</v>
      </c>
      <c r="K28" s="101">
        <f t="shared" si="3"/>
        <v>20.930232558139537</v>
      </c>
    </row>
    <row r="29" spans="1:11" ht="12.6" customHeight="1" x14ac:dyDescent="0.2">
      <c r="A29" s="126" t="s">
        <v>31</v>
      </c>
      <c r="B29" s="99">
        <v>8454</v>
      </c>
      <c r="C29" s="99">
        <f t="shared" si="2"/>
        <v>1592</v>
      </c>
      <c r="D29" s="99">
        <v>811</v>
      </c>
      <c r="E29" s="99">
        <v>609</v>
      </c>
      <c r="F29" s="99">
        <v>140</v>
      </c>
      <c r="G29" s="99">
        <v>32</v>
      </c>
      <c r="H29" s="100">
        <v>1.6218592964824099</v>
      </c>
      <c r="I29" s="99">
        <f t="shared" si="4"/>
        <v>1224</v>
      </c>
      <c r="J29" s="99">
        <v>368</v>
      </c>
      <c r="K29" s="101">
        <f t="shared" si="3"/>
        <v>23.115577889447238</v>
      </c>
    </row>
    <row r="30" spans="1:11" ht="12.6" customHeight="1" x14ac:dyDescent="0.2">
      <c r="A30" s="126" t="s">
        <v>32</v>
      </c>
      <c r="B30" s="99">
        <v>24245</v>
      </c>
      <c r="C30" s="99">
        <f t="shared" si="2"/>
        <v>4316</v>
      </c>
      <c r="D30" s="99">
        <v>2098</v>
      </c>
      <c r="E30" s="99">
        <v>1710</v>
      </c>
      <c r="F30" s="99">
        <v>428</v>
      </c>
      <c r="G30" s="99">
        <v>80</v>
      </c>
      <c r="H30" s="100">
        <v>1.6554680259499499</v>
      </c>
      <c r="I30" s="99">
        <f t="shared" si="4"/>
        <v>3544</v>
      </c>
      <c r="J30" s="99">
        <v>772</v>
      </c>
      <c r="K30" s="101">
        <f t="shared" si="3"/>
        <v>17.886932344763672</v>
      </c>
    </row>
    <row r="31" spans="1:11" ht="12.6" customHeight="1" x14ac:dyDescent="0.2">
      <c r="A31" s="126" t="s">
        <v>33</v>
      </c>
      <c r="B31" s="99">
        <v>4758</v>
      </c>
      <c r="C31" s="99">
        <f t="shared" si="2"/>
        <v>914</v>
      </c>
      <c r="D31" s="99">
        <v>437</v>
      </c>
      <c r="E31" s="99">
        <v>352</v>
      </c>
      <c r="F31" s="99">
        <v>100</v>
      </c>
      <c r="G31" s="99">
        <v>25</v>
      </c>
      <c r="H31" s="100">
        <v>1.6958424507658598</v>
      </c>
      <c r="I31" s="99">
        <f t="shared" si="4"/>
        <v>696</v>
      </c>
      <c r="J31" s="99">
        <v>218</v>
      </c>
      <c r="K31" s="101">
        <f t="shared" si="3"/>
        <v>23.851203501094094</v>
      </c>
    </row>
    <row r="32" spans="1:11" ht="12.6" customHeight="1" x14ac:dyDescent="0.2">
      <c r="A32" s="126" t="s">
        <v>34</v>
      </c>
      <c r="B32" s="99">
        <v>14809</v>
      </c>
      <c r="C32" s="99">
        <f t="shared" si="2"/>
        <v>3425</v>
      </c>
      <c r="D32" s="99">
        <v>1664</v>
      </c>
      <c r="E32" s="99">
        <v>1350</v>
      </c>
      <c r="F32" s="99">
        <v>340</v>
      </c>
      <c r="G32" s="99">
        <v>71</v>
      </c>
      <c r="H32" s="100">
        <v>1.66160583941606</v>
      </c>
      <c r="I32" s="99">
        <f t="shared" si="4"/>
        <v>2760</v>
      </c>
      <c r="J32" s="99">
        <v>665</v>
      </c>
      <c r="K32" s="101">
        <f t="shared" si="3"/>
        <v>19.416058394160586</v>
      </c>
    </row>
    <row r="33" spans="1:11" ht="12.6" customHeight="1" x14ac:dyDescent="0.2">
      <c r="A33" s="126" t="s">
        <v>35</v>
      </c>
      <c r="B33" s="99">
        <v>18631</v>
      </c>
      <c r="C33" s="99">
        <f t="shared" si="2"/>
        <v>3931</v>
      </c>
      <c r="D33" s="99">
        <v>1918</v>
      </c>
      <c r="E33" s="99">
        <v>1472</v>
      </c>
      <c r="F33" s="99">
        <v>433</v>
      </c>
      <c r="G33" s="99">
        <v>108</v>
      </c>
      <c r="H33" s="100">
        <v>1.6853218010684299</v>
      </c>
      <c r="I33" s="99">
        <f t="shared" si="4"/>
        <v>3124</v>
      </c>
      <c r="J33" s="99">
        <v>807</v>
      </c>
      <c r="K33" s="101">
        <f t="shared" si="3"/>
        <v>20.529127448486388</v>
      </c>
    </row>
    <row r="34" spans="1:11" ht="17.100000000000001" customHeight="1" x14ac:dyDescent="0.2">
      <c r="A34" s="128" t="s">
        <v>36</v>
      </c>
      <c r="B34" s="99">
        <f t="shared" ref="B34:G34" si="5">SUM(B16:B33)</f>
        <v>207458</v>
      </c>
      <c r="C34" s="99">
        <f t="shared" si="5"/>
        <v>40043</v>
      </c>
      <c r="D34" s="99">
        <f t="shared" si="5"/>
        <v>19810</v>
      </c>
      <c r="E34" s="99">
        <f t="shared" si="5"/>
        <v>15230</v>
      </c>
      <c r="F34" s="99">
        <f t="shared" si="5"/>
        <v>4098</v>
      </c>
      <c r="G34" s="99">
        <f t="shared" si="5"/>
        <v>905</v>
      </c>
      <c r="H34" s="100">
        <v>1.65</v>
      </c>
      <c r="I34" s="99">
        <f>SUM(I16:I33)</f>
        <v>31867</v>
      </c>
      <c r="J34" s="99">
        <f>SUM(J16:J33)</f>
        <v>8176</v>
      </c>
      <c r="K34" s="101">
        <f>+J34/C34*100</f>
        <v>20.418050595609717</v>
      </c>
    </row>
    <row r="35" spans="1:11" ht="17.100000000000001" customHeight="1" x14ac:dyDescent="0.2">
      <c r="A35" s="128" t="s">
        <v>37</v>
      </c>
      <c r="B35" s="109">
        <f>B15+B34</f>
        <v>320641</v>
      </c>
      <c r="C35" s="139">
        <f>SUM(D35:G35)</f>
        <v>56164</v>
      </c>
      <c r="D35" s="109">
        <f>D15+D34</f>
        <v>28613</v>
      </c>
      <c r="E35" s="109">
        <f>E15+E34</f>
        <v>20819</v>
      </c>
      <c r="F35" s="109">
        <f>F15+F34</f>
        <v>5507</v>
      </c>
      <c r="G35" s="109">
        <f>G15+G34</f>
        <v>1225</v>
      </c>
      <c r="H35" s="137">
        <v>1.63</v>
      </c>
      <c r="I35" s="109">
        <f>I15+I34</f>
        <v>44276</v>
      </c>
      <c r="J35" s="109">
        <f>J15+J34</f>
        <v>11888</v>
      </c>
      <c r="K35" s="138">
        <f>+J35/C35*100</f>
        <v>21.16658357666833</v>
      </c>
    </row>
    <row r="36" spans="1:11" ht="12.6" customHeight="1" x14ac:dyDescent="0.2">
      <c r="A36" s="130" t="s">
        <v>76</v>
      </c>
      <c r="B36" s="113"/>
      <c r="C36" s="114"/>
      <c r="D36" s="114"/>
      <c r="E36" s="114"/>
      <c r="F36" s="114"/>
      <c r="G36" s="115"/>
      <c r="H36" s="114"/>
      <c r="I36" s="114"/>
      <c r="J36" s="114"/>
      <c r="K36" s="114"/>
    </row>
    <row r="37" spans="1:11" ht="12.6" customHeight="1" x14ac:dyDescent="0.2">
      <c r="A37" s="131" t="s">
        <v>93</v>
      </c>
      <c r="B37" s="122"/>
      <c r="C37" s="122"/>
      <c r="D37" s="122"/>
      <c r="E37" s="122"/>
      <c r="F37" s="122"/>
      <c r="G37" s="132"/>
      <c r="H37" s="122"/>
      <c r="I37" s="122"/>
      <c r="J37" s="122"/>
      <c r="K37" s="122"/>
    </row>
  </sheetData>
  <mergeCells count="8">
    <mergeCell ref="A6:A8"/>
    <mergeCell ref="B6:B8"/>
    <mergeCell ref="C6:K6"/>
    <mergeCell ref="C7:C8"/>
    <mergeCell ref="D7:G7"/>
    <mergeCell ref="H7:H8"/>
    <mergeCell ref="I7:I8"/>
    <mergeCell ref="J7:K7"/>
  </mergeCells>
  <pageMargins left="0.59055118110236227" right="0.59055118110236227" top="0.59055118110236227" bottom="0.59055118110236227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1"/>
  <sheetViews>
    <sheetView workbookViewId="0">
      <selection activeCell="J10" sqref="J10"/>
    </sheetView>
  </sheetViews>
  <sheetFormatPr baseColWidth="10" defaultColWidth="9.83203125" defaultRowHeight="12.75" customHeight="1" x14ac:dyDescent="0.2"/>
  <cols>
    <col min="1" max="1" width="21.1640625" style="117" customWidth="1"/>
    <col min="2" max="2" width="10.5" style="117" customWidth="1"/>
    <col min="3" max="3" width="9.6640625" style="117" customWidth="1"/>
    <col min="4" max="4" width="9.1640625" style="117" customWidth="1"/>
    <col min="5" max="7" width="9" style="117" customWidth="1"/>
    <col min="8" max="8" width="10.6640625" style="117" customWidth="1"/>
    <col min="9" max="10" width="9" style="117" customWidth="1"/>
    <col min="11" max="11" width="11.5" style="117" bestFit="1" customWidth="1"/>
    <col min="12" max="16384" width="9.83203125" style="117"/>
  </cols>
  <sheetData>
    <row r="1" spans="1:11" ht="12.75" customHeight="1" x14ac:dyDescent="0.2">
      <c r="A1" s="49" t="s">
        <v>77</v>
      </c>
      <c r="B1" s="49"/>
      <c r="C1" s="49"/>
      <c r="D1" s="49"/>
      <c r="E1" s="49"/>
      <c r="F1" s="49"/>
      <c r="G1" s="49"/>
      <c r="H1" s="87"/>
      <c r="I1" s="87"/>
      <c r="J1" s="87"/>
      <c r="K1" s="87"/>
    </row>
    <row r="3" spans="1:11" ht="12.6" customHeight="1" x14ac:dyDescent="0.2">
      <c r="A3" s="135" t="s">
        <v>97</v>
      </c>
      <c r="B3" s="119"/>
      <c r="C3" s="119"/>
      <c r="D3" s="119"/>
      <c r="E3" s="119"/>
      <c r="F3" s="119"/>
      <c r="G3" s="119"/>
      <c r="H3" s="119"/>
      <c r="I3" s="119"/>
      <c r="J3" s="119"/>
      <c r="K3" s="119"/>
    </row>
    <row r="4" spans="1:11" ht="12.6" customHeight="1" x14ac:dyDescent="0.2">
      <c r="A4" s="120" t="s">
        <v>78</v>
      </c>
      <c r="B4" s="119"/>
      <c r="C4" s="119"/>
      <c r="D4" s="119"/>
      <c r="E4" s="119"/>
      <c r="F4" s="119"/>
      <c r="G4" s="119"/>
      <c r="H4" s="119"/>
      <c r="I4" s="119"/>
      <c r="J4" s="119"/>
      <c r="K4" s="119"/>
    </row>
    <row r="5" spans="1:11" ht="12.6" customHeight="1" x14ac:dyDescent="0.2">
      <c r="A5" s="121"/>
      <c r="B5" s="122"/>
      <c r="C5" s="122"/>
      <c r="D5" s="122"/>
      <c r="E5" s="122"/>
      <c r="F5" s="122"/>
      <c r="G5" s="122"/>
      <c r="H5" s="122"/>
      <c r="I5" s="122"/>
      <c r="J5" s="122"/>
      <c r="K5" s="122"/>
    </row>
    <row r="6" spans="1:11" ht="12.6" customHeight="1" thickBot="1" x14ac:dyDescent="0.25">
      <c r="A6" s="154" t="s">
        <v>2</v>
      </c>
      <c r="B6" s="156" t="s">
        <v>92</v>
      </c>
      <c r="C6" s="158" t="s">
        <v>74</v>
      </c>
      <c r="D6" s="158"/>
      <c r="E6" s="158"/>
      <c r="F6" s="158"/>
      <c r="G6" s="158"/>
      <c r="H6" s="158"/>
      <c r="I6" s="158"/>
      <c r="J6" s="158"/>
      <c r="K6" s="159"/>
    </row>
    <row r="7" spans="1:11" ht="12.6" customHeight="1" thickBot="1" x14ac:dyDescent="0.25">
      <c r="A7" s="155"/>
      <c r="B7" s="157"/>
      <c r="C7" s="160" t="s">
        <v>3</v>
      </c>
      <c r="D7" s="160" t="s">
        <v>4</v>
      </c>
      <c r="E7" s="160"/>
      <c r="F7" s="160"/>
      <c r="G7" s="160"/>
      <c r="H7" s="157" t="s">
        <v>75</v>
      </c>
      <c r="I7" s="160" t="s">
        <v>6</v>
      </c>
      <c r="J7" s="161" t="s">
        <v>7</v>
      </c>
      <c r="K7" s="162"/>
    </row>
    <row r="8" spans="1:11" ht="12.6" customHeight="1" thickBot="1" x14ac:dyDescent="0.25">
      <c r="A8" s="155"/>
      <c r="B8" s="157"/>
      <c r="C8" s="160"/>
      <c r="D8" s="123">
        <v>1</v>
      </c>
      <c r="E8" s="123">
        <v>2</v>
      </c>
      <c r="F8" s="123">
        <v>3</v>
      </c>
      <c r="G8" s="123" t="s">
        <v>8</v>
      </c>
      <c r="H8" s="157"/>
      <c r="I8" s="160"/>
      <c r="J8" s="123" t="s">
        <v>10</v>
      </c>
      <c r="K8" s="124" t="s">
        <v>11</v>
      </c>
    </row>
    <row r="9" spans="1:11" ht="12.6" customHeight="1" x14ac:dyDescent="0.2">
      <c r="A9" s="125"/>
      <c r="B9" s="122"/>
      <c r="C9" s="122"/>
      <c r="D9" s="122"/>
      <c r="E9" s="122"/>
      <c r="F9" s="122"/>
      <c r="G9" s="122"/>
      <c r="H9" s="122"/>
      <c r="I9" s="122"/>
      <c r="J9" s="122"/>
      <c r="K9" s="122"/>
    </row>
    <row r="10" spans="1:11" ht="12.6" customHeight="1" x14ac:dyDescent="0.2">
      <c r="A10" s="126" t="s">
        <v>12</v>
      </c>
      <c r="B10" s="99">
        <v>14395</v>
      </c>
      <c r="C10" s="99">
        <f>SUM(D10:G10)</f>
        <v>1387</v>
      </c>
      <c r="D10" s="99">
        <v>804</v>
      </c>
      <c r="E10" s="99">
        <v>464</v>
      </c>
      <c r="F10" s="99">
        <v>82</v>
      </c>
      <c r="G10" s="99">
        <v>37</v>
      </c>
      <c r="H10" s="100">
        <v>1.55</v>
      </c>
      <c r="I10" s="99">
        <f>C10-J10</f>
        <v>1016</v>
      </c>
      <c r="J10" s="99">
        <v>371</v>
      </c>
      <c r="K10" s="101">
        <f>+J10/C10*100</f>
        <v>26.748377793799566</v>
      </c>
    </row>
    <row r="11" spans="1:11" ht="12.6" customHeight="1" x14ac:dyDescent="0.2">
      <c r="A11" s="126" t="s">
        <v>13</v>
      </c>
      <c r="B11" s="99">
        <v>13691</v>
      </c>
      <c r="C11" s="99">
        <f>SUM(D11:G11)</f>
        <v>2426</v>
      </c>
      <c r="D11" s="99">
        <v>1300</v>
      </c>
      <c r="E11" s="99">
        <v>837</v>
      </c>
      <c r="F11" s="99">
        <v>228</v>
      </c>
      <c r="G11" s="99">
        <v>61</v>
      </c>
      <c r="H11" s="100">
        <v>1.62</v>
      </c>
      <c r="I11" s="99">
        <f>C11-J11</f>
        <v>1821</v>
      </c>
      <c r="J11" s="99">
        <v>605</v>
      </c>
      <c r="K11" s="101">
        <f>+J11/C11*100</f>
        <v>24.938169826875516</v>
      </c>
    </row>
    <row r="12" spans="1:11" ht="12.6" customHeight="1" x14ac:dyDescent="0.2">
      <c r="A12" s="126" t="s">
        <v>14</v>
      </c>
      <c r="B12" s="99">
        <v>26699</v>
      </c>
      <c r="C12" s="99">
        <f>SUM(D12:G12)</f>
        <v>4214</v>
      </c>
      <c r="D12" s="99">
        <v>2319</v>
      </c>
      <c r="E12" s="99">
        <v>1442</v>
      </c>
      <c r="F12" s="99">
        <v>371</v>
      </c>
      <c r="G12" s="99">
        <v>82</v>
      </c>
      <c r="H12" s="100">
        <v>1.58</v>
      </c>
      <c r="I12" s="99">
        <f>C12-J12</f>
        <v>3109</v>
      </c>
      <c r="J12" s="99">
        <v>1105</v>
      </c>
      <c r="K12" s="101">
        <f>+J12/C12*100</f>
        <v>26.222116753678215</v>
      </c>
    </row>
    <row r="13" spans="1:11" ht="12.6" customHeight="1" x14ac:dyDescent="0.2">
      <c r="A13" s="126" t="s">
        <v>15</v>
      </c>
      <c r="B13" s="99">
        <v>25502</v>
      </c>
      <c r="C13" s="99">
        <f>SUM(D13:G13)</f>
        <v>3652</v>
      </c>
      <c r="D13" s="99">
        <v>1936</v>
      </c>
      <c r="E13" s="99">
        <v>1341</v>
      </c>
      <c r="F13" s="99">
        <v>317</v>
      </c>
      <c r="G13" s="99">
        <v>58</v>
      </c>
      <c r="H13" s="100">
        <v>1.59</v>
      </c>
      <c r="I13" s="99">
        <f>C13-J13</f>
        <v>2855</v>
      </c>
      <c r="J13" s="99">
        <v>797</v>
      </c>
      <c r="K13" s="101">
        <f>+J13/C13*100</f>
        <v>21.823658269441403</v>
      </c>
    </row>
    <row r="14" spans="1:11" ht="12.6" customHeight="1" x14ac:dyDescent="0.2">
      <c r="A14" s="126" t="s">
        <v>16</v>
      </c>
      <c r="B14" s="99">
        <v>30834</v>
      </c>
      <c r="C14" s="99">
        <f>SUM(D14:G14)</f>
        <v>4006</v>
      </c>
      <c r="D14" s="99">
        <v>2214</v>
      </c>
      <c r="E14" s="99">
        <v>1417</v>
      </c>
      <c r="F14" s="99">
        <v>312</v>
      </c>
      <c r="G14" s="99">
        <v>63</v>
      </c>
      <c r="H14" s="100">
        <v>1.56</v>
      </c>
      <c r="I14" s="99">
        <f>C14-J14</f>
        <v>3100</v>
      </c>
      <c r="J14" s="99">
        <v>906</v>
      </c>
      <c r="K14" s="101">
        <f>+J14/C14*100</f>
        <v>22.616075886170744</v>
      </c>
    </row>
    <row r="15" spans="1:11" ht="3" customHeight="1" x14ac:dyDescent="0.2">
      <c r="A15" s="126"/>
      <c r="B15" s="99"/>
      <c r="C15" s="99"/>
      <c r="D15" s="99"/>
      <c r="E15" s="99"/>
      <c r="F15" s="99"/>
      <c r="G15" s="99"/>
      <c r="H15" s="100"/>
      <c r="I15" s="99"/>
      <c r="J15" s="99"/>
      <c r="K15" s="101"/>
    </row>
    <row r="16" spans="1:11" ht="12.6" customHeight="1" x14ac:dyDescent="0.2">
      <c r="A16" s="128" t="s">
        <v>17</v>
      </c>
      <c r="B16" s="99">
        <f t="shared" ref="B16:G16" si="0">SUM(B10:B14)</f>
        <v>111121</v>
      </c>
      <c r="C16" s="99">
        <f t="shared" si="0"/>
        <v>15685</v>
      </c>
      <c r="D16" s="99">
        <f t="shared" si="0"/>
        <v>8573</v>
      </c>
      <c r="E16" s="99">
        <f t="shared" si="0"/>
        <v>5501</v>
      </c>
      <c r="F16" s="99">
        <f t="shared" si="0"/>
        <v>1310</v>
      </c>
      <c r="G16" s="99">
        <f t="shared" si="0"/>
        <v>301</v>
      </c>
      <c r="H16" s="100">
        <v>1.58</v>
      </c>
      <c r="I16" s="99">
        <f>SUM(I10:I14)</f>
        <v>11901</v>
      </c>
      <c r="J16" s="99">
        <f>SUM(J10:J14)</f>
        <v>3784</v>
      </c>
      <c r="K16" s="101">
        <f>+J16/C16*100</f>
        <v>24.124960153012431</v>
      </c>
    </row>
    <row r="17" spans="1:11" ht="3" customHeight="1" x14ac:dyDescent="0.2">
      <c r="A17" s="129"/>
      <c r="B17" s="105"/>
      <c r="C17" s="105"/>
      <c r="D17" s="105"/>
      <c r="E17" s="105"/>
      <c r="F17" s="105"/>
      <c r="G17" s="105"/>
      <c r="H17" s="106"/>
      <c r="I17" s="105"/>
      <c r="J17" s="105"/>
      <c r="K17" s="107"/>
    </row>
    <row r="18" spans="1:11" ht="12.6" customHeight="1" x14ac:dyDescent="0.2">
      <c r="A18" s="126" t="s">
        <v>18</v>
      </c>
      <c r="B18" s="99">
        <v>35930</v>
      </c>
      <c r="C18" s="99">
        <f t="shared" ref="C18:C35" si="1">SUM(D18:G18)</f>
        <v>6996</v>
      </c>
      <c r="D18" s="99">
        <v>3551</v>
      </c>
      <c r="E18" s="99">
        <v>2521</v>
      </c>
      <c r="F18" s="99">
        <v>752</v>
      </c>
      <c r="G18" s="99">
        <v>172</v>
      </c>
      <c r="H18" s="100">
        <v>1.66</v>
      </c>
      <c r="I18" s="99">
        <f>C18-J18</f>
        <v>5406</v>
      </c>
      <c r="J18" s="99">
        <v>1590</v>
      </c>
      <c r="K18" s="101">
        <f t="shared" ref="K18:K35" si="2">+J18/C18*100</f>
        <v>22.727272727272727</v>
      </c>
    </row>
    <row r="19" spans="1:11" ht="12.6" customHeight="1" x14ac:dyDescent="0.2">
      <c r="A19" s="126" t="s">
        <v>19</v>
      </c>
      <c r="B19" s="99">
        <v>3437</v>
      </c>
      <c r="C19" s="99">
        <f t="shared" si="1"/>
        <v>617</v>
      </c>
      <c r="D19" s="99">
        <v>272</v>
      </c>
      <c r="E19" s="99">
        <v>257</v>
      </c>
      <c r="F19" s="99">
        <v>71</v>
      </c>
      <c r="G19" s="99">
        <v>17</v>
      </c>
      <c r="H19" s="100">
        <v>1.73</v>
      </c>
      <c r="I19" s="99">
        <f t="shared" ref="I19:I35" si="3">C19-J19</f>
        <v>487</v>
      </c>
      <c r="J19" s="99">
        <v>130</v>
      </c>
      <c r="K19" s="101">
        <f t="shared" si="2"/>
        <v>21.069692058346838</v>
      </c>
    </row>
    <row r="20" spans="1:11" ht="12.6" customHeight="1" x14ac:dyDescent="0.2">
      <c r="A20" s="126" t="s">
        <v>20</v>
      </c>
      <c r="B20" s="99">
        <v>6548</v>
      </c>
      <c r="C20" s="99">
        <f t="shared" si="1"/>
        <v>1217</v>
      </c>
      <c r="D20" s="99">
        <v>587</v>
      </c>
      <c r="E20" s="99">
        <v>481</v>
      </c>
      <c r="F20" s="99">
        <v>109</v>
      </c>
      <c r="G20" s="99">
        <v>40</v>
      </c>
      <c r="H20" s="100">
        <v>1.68</v>
      </c>
      <c r="I20" s="99">
        <f t="shared" si="3"/>
        <v>969</v>
      </c>
      <c r="J20" s="99">
        <v>248</v>
      </c>
      <c r="K20" s="101">
        <f t="shared" si="2"/>
        <v>20.377978635990139</v>
      </c>
    </row>
    <row r="21" spans="1:11" ht="12.6" customHeight="1" x14ac:dyDescent="0.2">
      <c r="A21" s="126" t="s">
        <v>21</v>
      </c>
      <c r="B21" s="99">
        <v>8548</v>
      </c>
      <c r="C21" s="99">
        <f t="shared" si="1"/>
        <v>1539</v>
      </c>
      <c r="D21" s="99">
        <v>749</v>
      </c>
      <c r="E21" s="99">
        <v>615</v>
      </c>
      <c r="F21" s="99">
        <v>154</v>
      </c>
      <c r="G21" s="99">
        <v>21</v>
      </c>
      <c r="H21" s="100">
        <v>1.64</v>
      </c>
      <c r="I21" s="99">
        <f t="shared" si="3"/>
        <v>1263</v>
      </c>
      <c r="J21" s="99">
        <v>276</v>
      </c>
      <c r="K21" s="101">
        <f t="shared" si="2"/>
        <v>17.93372319688109</v>
      </c>
    </row>
    <row r="22" spans="1:11" ht="12.6" customHeight="1" x14ac:dyDescent="0.2">
      <c r="A22" s="126" t="s">
        <v>22</v>
      </c>
      <c r="B22" s="99">
        <v>15096</v>
      </c>
      <c r="C22" s="99">
        <f t="shared" si="1"/>
        <v>2795</v>
      </c>
      <c r="D22" s="99">
        <v>1399</v>
      </c>
      <c r="E22" s="99">
        <v>1063</v>
      </c>
      <c r="F22" s="99">
        <v>281</v>
      </c>
      <c r="G22" s="99">
        <v>52</v>
      </c>
      <c r="H22" s="100">
        <v>1.64</v>
      </c>
      <c r="I22" s="99">
        <f t="shared" si="3"/>
        <v>2238</v>
      </c>
      <c r="J22" s="99">
        <v>557</v>
      </c>
      <c r="K22" s="101">
        <f t="shared" si="2"/>
        <v>19.928443649373882</v>
      </c>
    </row>
    <row r="23" spans="1:11" ht="12.6" customHeight="1" x14ac:dyDescent="0.2">
      <c r="A23" s="126" t="s">
        <v>23</v>
      </c>
      <c r="B23" s="99">
        <v>4852</v>
      </c>
      <c r="C23" s="99">
        <f t="shared" si="1"/>
        <v>985</v>
      </c>
      <c r="D23" s="99">
        <v>509</v>
      </c>
      <c r="E23" s="99">
        <v>346</v>
      </c>
      <c r="F23" s="99">
        <v>110</v>
      </c>
      <c r="G23" s="99">
        <v>20</v>
      </c>
      <c r="H23" s="100">
        <v>1.64</v>
      </c>
      <c r="I23" s="99">
        <f t="shared" si="3"/>
        <v>794</v>
      </c>
      <c r="J23" s="99">
        <v>191</v>
      </c>
      <c r="K23" s="101">
        <f t="shared" si="2"/>
        <v>19.390862944162439</v>
      </c>
    </row>
    <row r="24" spans="1:11" ht="12.6" customHeight="1" x14ac:dyDescent="0.2">
      <c r="A24" s="126" t="s">
        <v>24</v>
      </c>
      <c r="B24" s="99">
        <v>15711</v>
      </c>
      <c r="C24" s="99">
        <f t="shared" si="1"/>
        <v>2922</v>
      </c>
      <c r="D24" s="99">
        <v>1474</v>
      </c>
      <c r="E24" s="99">
        <v>1111</v>
      </c>
      <c r="F24" s="99">
        <v>284</v>
      </c>
      <c r="G24" s="99">
        <v>53</v>
      </c>
      <c r="H24" s="100">
        <v>1.63</v>
      </c>
      <c r="I24" s="99">
        <f t="shared" si="3"/>
        <v>2428</v>
      </c>
      <c r="J24" s="99">
        <v>494</v>
      </c>
      <c r="K24" s="101">
        <f t="shared" si="2"/>
        <v>16.906228610540726</v>
      </c>
    </row>
    <row r="25" spans="1:11" ht="12.6" customHeight="1" x14ac:dyDescent="0.2">
      <c r="A25" s="126" t="s">
        <v>25</v>
      </c>
      <c r="B25" s="99">
        <v>12124</v>
      </c>
      <c r="C25" s="99">
        <f t="shared" si="1"/>
        <v>2456</v>
      </c>
      <c r="D25" s="99">
        <v>1277</v>
      </c>
      <c r="E25" s="99">
        <v>879</v>
      </c>
      <c r="F25" s="99">
        <v>246</v>
      </c>
      <c r="G25" s="99">
        <v>54</v>
      </c>
      <c r="H25" s="100">
        <v>1.63</v>
      </c>
      <c r="I25" s="99">
        <f t="shared" si="3"/>
        <v>1901</v>
      </c>
      <c r="J25" s="99">
        <v>555</v>
      </c>
      <c r="K25" s="101">
        <f t="shared" si="2"/>
        <v>22.59771986970684</v>
      </c>
    </row>
    <row r="26" spans="1:11" ht="12.6" customHeight="1" x14ac:dyDescent="0.2">
      <c r="A26" s="126" t="s">
        <v>26</v>
      </c>
      <c r="B26" s="99">
        <v>3368</v>
      </c>
      <c r="C26" s="99">
        <f t="shared" si="1"/>
        <v>568</v>
      </c>
      <c r="D26" s="99">
        <v>295</v>
      </c>
      <c r="E26" s="99">
        <v>211</v>
      </c>
      <c r="F26" s="99">
        <v>51</v>
      </c>
      <c r="G26" s="99">
        <v>11</v>
      </c>
      <c r="H26" s="100">
        <v>1.61</v>
      </c>
      <c r="I26" s="99">
        <f t="shared" si="3"/>
        <v>440</v>
      </c>
      <c r="J26" s="99">
        <v>128</v>
      </c>
      <c r="K26" s="101">
        <f t="shared" si="2"/>
        <v>22.535211267605636</v>
      </c>
    </row>
    <row r="27" spans="1:11" ht="12.6" customHeight="1" x14ac:dyDescent="0.2">
      <c r="A27" s="126" t="s">
        <v>27</v>
      </c>
      <c r="B27" s="99">
        <v>4189</v>
      </c>
      <c r="C27" s="99">
        <f t="shared" si="1"/>
        <v>839</v>
      </c>
      <c r="D27" s="99">
        <v>419</v>
      </c>
      <c r="E27" s="99">
        <v>313</v>
      </c>
      <c r="F27" s="99">
        <v>85</v>
      </c>
      <c r="G27" s="99">
        <v>22</v>
      </c>
      <c r="H27" s="100">
        <v>1.66</v>
      </c>
      <c r="I27" s="99">
        <f t="shared" si="3"/>
        <v>641</v>
      </c>
      <c r="J27" s="99">
        <v>198</v>
      </c>
      <c r="K27" s="101">
        <f t="shared" si="2"/>
        <v>23.59952324195471</v>
      </c>
    </row>
    <row r="28" spans="1:11" ht="12.6" customHeight="1" x14ac:dyDescent="0.2">
      <c r="A28" s="126" t="s">
        <v>28</v>
      </c>
      <c r="B28" s="99">
        <v>7066</v>
      </c>
      <c r="C28" s="99">
        <f t="shared" si="1"/>
        <v>1167</v>
      </c>
      <c r="D28" s="99">
        <v>579</v>
      </c>
      <c r="E28" s="99">
        <v>463</v>
      </c>
      <c r="F28" s="99">
        <v>96</v>
      </c>
      <c r="G28" s="99">
        <v>29</v>
      </c>
      <c r="H28" s="100">
        <v>1.64</v>
      </c>
      <c r="I28" s="99">
        <f t="shared" si="3"/>
        <v>943</v>
      </c>
      <c r="J28" s="99">
        <v>224</v>
      </c>
      <c r="K28" s="101">
        <f t="shared" si="2"/>
        <v>19.194515852613538</v>
      </c>
    </row>
    <row r="29" spans="1:11" ht="12.6" customHeight="1" x14ac:dyDescent="0.2">
      <c r="A29" s="126" t="s">
        <v>29</v>
      </c>
      <c r="B29" s="99">
        <v>12078</v>
      </c>
      <c r="C29" s="99">
        <f t="shared" si="1"/>
        <v>2346</v>
      </c>
      <c r="D29" s="99">
        <v>1148</v>
      </c>
      <c r="E29" s="99">
        <v>921</v>
      </c>
      <c r="F29" s="99">
        <v>232</v>
      </c>
      <c r="G29" s="99">
        <v>45</v>
      </c>
      <c r="H29" s="100">
        <v>1.65</v>
      </c>
      <c r="I29" s="99">
        <f t="shared" si="3"/>
        <v>1840</v>
      </c>
      <c r="J29" s="99">
        <v>506</v>
      </c>
      <c r="K29" s="101">
        <f t="shared" si="2"/>
        <v>21.568627450980394</v>
      </c>
    </row>
    <row r="30" spans="1:11" ht="12.6" customHeight="1" x14ac:dyDescent="0.2">
      <c r="A30" s="126" t="s">
        <v>30</v>
      </c>
      <c r="B30" s="99">
        <v>5823</v>
      </c>
      <c r="C30" s="99">
        <f t="shared" si="1"/>
        <v>1141</v>
      </c>
      <c r="D30" s="99">
        <v>609</v>
      </c>
      <c r="E30" s="99">
        <v>419</v>
      </c>
      <c r="F30" s="99">
        <v>98</v>
      </c>
      <c r="G30" s="99">
        <v>15</v>
      </c>
      <c r="H30" s="100">
        <v>1.59</v>
      </c>
      <c r="I30" s="99">
        <f t="shared" si="3"/>
        <v>904</v>
      </c>
      <c r="J30" s="99">
        <v>237</v>
      </c>
      <c r="K30" s="101">
        <f t="shared" si="2"/>
        <v>20.77125328659071</v>
      </c>
    </row>
    <row r="31" spans="1:11" ht="12.6" customHeight="1" x14ac:dyDescent="0.2">
      <c r="A31" s="126" t="s">
        <v>31</v>
      </c>
      <c r="B31" s="99">
        <v>8342</v>
      </c>
      <c r="C31" s="99">
        <f t="shared" si="1"/>
        <v>1628</v>
      </c>
      <c r="D31" s="99">
        <v>830</v>
      </c>
      <c r="E31" s="99">
        <v>618</v>
      </c>
      <c r="F31" s="99">
        <v>140</v>
      </c>
      <c r="G31" s="99">
        <v>40</v>
      </c>
      <c r="H31" s="100">
        <v>1.63</v>
      </c>
      <c r="I31" s="99">
        <f t="shared" si="3"/>
        <v>1258</v>
      </c>
      <c r="J31" s="99">
        <v>370</v>
      </c>
      <c r="K31" s="101">
        <f t="shared" si="2"/>
        <v>22.727272727272727</v>
      </c>
    </row>
    <row r="32" spans="1:11" ht="12.6" customHeight="1" x14ac:dyDescent="0.2">
      <c r="A32" s="126" t="s">
        <v>32</v>
      </c>
      <c r="B32" s="99">
        <v>23800</v>
      </c>
      <c r="C32" s="99">
        <f t="shared" si="1"/>
        <v>4292</v>
      </c>
      <c r="D32" s="99">
        <v>2052</v>
      </c>
      <c r="E32" s="99">
        <v>1738</v>
      </c>
      <c r="F32" s="99">
        <v>415</v>
      </c>
      <c r="G32" s="99">
        <v>87</v>
      </c>
      <c r="H32" s="100">
        <v>1.66</v>
      </c>
      <c r="I32" s="99">
        <f t="shared" si="3"/>
        <v>3531</v>
      </c>
      <c r="J32" s="99">
        <v>761</v>
      </c>
      <c r="K32" s="101">
        <f t="shared" si="2"/>
        <v>17.730661696178938</v>
      </c>
    </row>
    <row r="33" spans="1:11" ht="12.6" customHeight="1" x14ac:dyDescent="0.2">
      <c r="A33" s="126" t="s">
        <v>33</v>
      </c>
      <c r="B33" s="99">
        <v>4663</v>
      </c>
      <c r="C33" s="99">
        <f t="shared" si="1"/>
        <v>859</v>
      </c>
      <c r="D33" s="99">
        <v>432</v>
      </c>
      <c r="E33" s="99">
        <v>318</v>
      </c>
      <c r="F33" s="99">
        <v>77</v>
      </c>
      <c r="G33" s="99">
        <v>32</v>
      </c>
      <c r="H33" s="100">
        <v>1.67</v>
      </c>
      <c r="I33" s="99">
        <f t="shared" si="3"/>
        <v>659</v>
      </c>
      <c r="J33" s="99">
        <v>200</v>
      </c>
      <c r="K33" s="101">
        <f t="shared" si="2"/>
        <v>23.282887077997671</v>
      </c>
    </row>
    <row r="34" spans="1:11" ht="12.6" customHeight="1" x14ac:dyDescent="0.2">
      <c r="A34" s="126" t="s">
        <v>34</v>
      </c>
      <c r="B34" s="99">
        <v>14694</v>
      </c>
      <c r="C34" s="99">
        <f t="shared" si="1"/>
        <v>3385</v>
      </c>
      <c r="D34" s="99">
        <v>1674</v>
      </c>
      <c r="E34" s="99">
        <v>1313</v>
      </c>
      <c r="F34" s="99">
        <v>328</v>
      </c>
      <c r="G34" s="99">
        <v>70</v>
      </c>
      <c r="H34" s="100">
        <v>1.65</v>
      </c>
      <c r="I34" s="99">
        <f t="shared" si="3"/>
        <v>2721</v>
      </c>
      <c r="J34" s="99">
        <v>664</v>
      </c>
      <c r="K34" s="101">
        <f t="shared" si="2"/>
        <v>19.615952732644018</v>
      </c>
    </row>
    <row r="35" spans="1:11" ht="12.6" customHeight="1" x14ac:dyDescent="0.2">
      <c r="A35" s="126" t="s">
        <v>35</v>
      </c>
      <c r="B35" s="99">
        <v>18276</v>
      </c>
      <c r="C35" s="99">
        <f t="shared" si="1"/>
        <v>3856</v>
      </c>
      <c r="D35" s="99">
        <v>1868</v>
      </c>
      <c r="E35" s="99">
        <v>1458</v>
      </c>
      <c r="F35" s="99">
        <v>430</v>
      </c>
      <c r="G35" s="99">
        <v>100</v>
      </c>
      <c r="H35" s="100">
        <v>1.69</v>
      </c>
      <c r="I35" s="99">
        <f t="shared" si="3"/>
        <v>3041</v>
      </c>
      <c r="J35" s="99">
        <v>815</v>
      </c>
      <c r="K35" s="101">
        <f t="shared" si="2"/>
        <v>21.135892116182571</v>
      </c>
    </row>
    <row r="36" spans="1:11" ht="3" customHeight="1" x14ac:dyDescent="0.2">
      <c r="A36" s="126"/>
      <c r="B36" s="99"/>
      <c r="C36" s="99"/>
      <c r="D36" s="99"/>
      <c r="E36" s="99"/>
      <c r="F36" s="99"/>
      <c r="G36" s="99"/>
      <c r="H36" s="100"/>
      <c r="I36" s="99"/>
      <c r="J36" s="99"/>
      <c r="K36" s="101"/>
    </row>
    <row r="37" spans="1:11" ht="12.6" customHeight="1" x14ac:dyDescent="0.2">
      <c r="A37" s="128" t="s">
        <v>36</v>
      </c>
      <c r="B37" s="99">
        <f t="shared" ref="B37:G37" si="4">SUM(B18:B35)</f>
        <v>204545</v>
      </c>
      <c r="C37" s="99">
        <f t="shared" si="4"/>
        <v>39608</v>
      </c>
      <c r="D37" s="99">
        <f t="shared" si="4"/>
        <v>19724</v>
      </c>
      <c r="E37" s="99">
        <f t="shared" si="4"/>
        <v>15045</v>
      </c>
      <c r="F37" s="99">
        <f t="shared" si="4"/>
        <v>3959</v>
      </c>
      <c r="G37" s="99">
        <f t="shared" si="4"/>
        <v>880</v>
      </c>
      <c r="H37" s="100">
        <v>1.65</v>
      </c>
      <c r="I37" s="99">
        <f>SUM(I18:I35)</f>
        <v>31464</v>
      </c>
      <c r="J37" s="99">
        <f>SUM(J18:J35)</f>
        <v>8144</v>
      </c>
      <c r="K37" s="101">
        <f>+J37/C37*100</f>
        <v>20.561502726721876</v>
      </c>
    </row>
    <row r="38" spans="1:11" ht="3" customHeight="1" x14ac:dyDescent="0.2">
      <c r="A38" s="129"/>
      <c r="B38" s="105"/>
      <c r="C38" s="99"/>
      <c r="D38" s="105"/>
      <c r="E38" s="105"/>
      <c r="F38" s="105"/>
      <c r="G38" s="105"/>
      <c r="H38" s="100"/>
      <c r="I38" s="105"/>
      <c r="J38" s="105"/>
      <c r="K38" s="107"/>
    </row>
    <row r="39" spans="1:11" ht="12.6" customHeight="1" x14ac:dyDescent="0.2">
      <c r="A39" s="128" t="s">
        <v>37</v>
      </c>
      <c r="B39" s="109">
        <f>B16+B37</f>
        <v>315666</v>
      </c>
      <c r="C39" s="110">
        <f>SUM(D39:G39)</f>
        <v>55293</v>
      </c>
      <c r="D39" s="109">
        <f>D16+D37</f>
        <v>28297</v>
      </c>
      <c r="E39" s="109">
        <f>E16+E37</f>
        <v>20546</v>
      </c>
      <c r="F39" s="109">
        <f>F16+F37</f>
        <v>5269</v>
      </c>
      <c r="G39" s="109">
        <f>G16+G37</f>
        <v>1181</v>
      </c>
      <c r="H39" s="136">
        <v>1.63</v>
      </c>
      <c r="I39" s="109">
        <f>I16+I37</f>
        <v>43365</v>
      </c>
      <c r="J39" s="109">
        <f>J16+J37</f>
        <v>11928</v>
      </c>
      <c r="K39" s="111">
        <f>+J39/C39*100</f>
        <v>21.572350930497532</v>
      </c>
    </row>
    <row r="40" spans="1:11" ht="12.6" customHeight="1" x14ac:dyDescent="0.2">
      <c r="A40" s="130" t="s">
        <v>76</v>
      </c>
      <c r="B40" s="113"/>
      <c r="C40" s="114"/>
      <c r="D40" s="114"/>
      <c r="E40" s="114"/>
      <c r="F40" s="114"/>
      <c r="G40" s="115"/>
      <c r="H40" s="114"/>
      <c r="I40" s="114"/>
      <c r="J40" s="114"/>
      <c r="K40" s="114"/>
    </row>
    <row r="41" spans="1:11" ht="12.6" customHeight="1" x14ac:dyDescent="0.2">
      <c r="A41" s="131" t="s">
        <v>93</v>
      </c>
      <c r="B41" s="122"/>
      <c r="C41" s="122"/>
      <c r="D41" s="122"/>
      <c r="E41" s="122"/>
      <c r="F41" s="122"/>
      <c r="G41" s="132"/>
      <c r="H41" s="122"/>
      <c r="I41" s="122"/>
      <c r="J41" s="122"/>
      <c r="K41" s="122"/>
    </row>
  </sheetData>
  <mergeCells count="8">
    <mergeCell ref="A6:A8"/>
    <mergeCell ref="B6:B8"/>
    <mergeCell ref="C6:K6"/>
    <mergeCell ref="C7:C8"/>
    <mergeCell ref="D7:G7"/>
    <mergeCell ref="H7:H8"/>
    <mergeCell ref="I7:I8"/>
    <mergeCell ref="J7:K7"/>
  </mergeCells>
  <pageMargins left="0.59055118110236227" right="0.59055118110236227" top="0.59055118110236227" bottom="0.59055118110236227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1"/>
  <sheetViews>
    <sheetView workbookViewId="0">
      <selection activeCell="O26" sqref="O26"/>
    </sheetView>
  </sheetViews>
  <sheetFormatPr baseColWidth="10" defaultColWidth="9.83203125" defaultRowHeight="12.75" customHeight="1" x14ac:dyDescent="0.2"/>
  <cols>
    <col min="1" max="1" width="21.1640625" style="117" customWidth="1"/>
    <col min="2" max="2" width="10.5" style="117" customWidth="1"/>
    <col min="3" max="3" width="9.6640625" style="117" customWidth="1"/>
    <col min="4" max="4" width="9.1640625" style="117" customWidth="1"/>
    <col min="5" max="7" width="9" style="117" customWidth="1"/>
    <col min="8" max="8" width="10.6640625" style="117" customWidth="1"/>
    <col min="9" max="10" width="9" style="117" customWidth="1"/>
    <col min="11" max="11" width="11.5" style="117" bestFit="1" customWidth="1"/>
    <col min="12" max="16384" width="9.83203125" style="117"/>
  </cols>
  <sheetData>
    <row r="1" spans="1:11" ht="12.75" customHeight="1" x14ac:dyDescent="0.2">
      <c r="A1" s="49" t="s">
        <v>77</v>
      </c>
      <c r="B1" s="49"/>
      <c r="C1" s="49"/>
      <c r="D1" s="49"/>
      <c r="E1" s="49"/>
      <c r="F1" s="49"/>
      <c r="G1" s="49"/>
      <c r="H1" s="87"/>
      <c r="I1" s="87"/>
      <c r="J1" s="87"/>
      <c r="K1" s="87"/>
    </row>
    <row r="3" spans="1:11" ht="12.6" customHeight="1" x14ac:dyDescent="0.2">
      <c r="A3" s="135" t="s">
        <v>96</v>
      </c>
      <c r="B3" s="119"/>
      <c r="C3" s="119"/>
      <c r="D3" s="119"/>
      <c r="E3" s="119"/>
      <c r="F3" s="119"/>
      <c r="G3" s="119"/>
      <c r="H3" s="119"/>
      <c r="I3" s="119"/>
      <c r="J3" s="119"/>
      <c r="K3" s="119"/>
    </row>
    <row r="4" spans="1:11" ht="12.6" customHeight="1" x14ac:dyDescent="0.2">
      <c r="A4" s="120" t="s">
        <v>78</v>
      </c>
      <c r="B4" s="119"/>
      <c r="C4" s="119"/>
      <c r="D4" s="119"/>
      <c r="E4" s="119"/>
      <c r="F4" s="119"/>
      <c r="G4" s="119"/>
      <c r="H4" s="119"/>
      <c r="I4" s="119"/>
      <c r="J4" s="119"/>
      <c r="K4" s="119"/>
    </row>
    <row r="5" spans="1:11" ht="12.6" customHeight="1" x14ac:dyDescent="0.2">
      <c r="A5" s="121"/>
      <c r="B5" s="122"/>
      <c r="C5" s="122"/>
      <c r="D5" s="122"/>
      <c r="E5" s="122"/>
      <c r="F5" s="122"/>
      <c r="G5" s="122"/>
      <c r="H5" s="122"/>
      <c r="I5" s="122"/>
      <c r="J5" s="122"/>
      <c r="K5" s="122"/>
    </row>
    <row r="6" spans="1:11" ht="12.6" customHeight="1" thickBot="1" x14ac:dyDescent="0.25">
      <c r="A6" s="154" t="s">
        <v>2</v>
      </c>
      <c r="B6" s="156" t="s">
        <v>92</v>
      </c>
      <c r="C6" s="158" t="s">
        <v>74</v>
      </c>
      <c r="D6" s="158"/>
      <c r="E6" s="158"/>
      <c r="F6" s="158"/>
      <c r="G6" s="158"/>
      <c r="H6" s="158"/>
      <c r="I6" s="158"/>
      <c r="J6" s="158"/>
      <c r="K6" s="159"/>
    </row>
    <row r="7" spans="1:11" ht="12.6" customHeight="1" thickBot="1" x14ac:dyDescent="0.25">
      <c r="A7" s="155"/>
      <c r="B7" s="157"/>
      <c r="C7" s="160" t="s">
        <v>3</v>
      </c>
      <c r="D7" s="160" t="s">
        <v>4</v>
      </c>
      <c r="E7" s="160"/>
      <c r="F7" s="160"/>
      <c r="G7" s="160"/>
      <c r="H7" s="157" t="s">
        <v>75</v>
      </c>
      <c r="I7" s="160" t="s">
        <v>6</v>
      </c>
      <c r="J7" s="161" t="s">
        <v>7</v>
      </c>
      <c r="K7" s="162"/>
    </row>
    <row r="8" spans="1:11" ht="12.6" customHeight="1" thickBot="1" x14ac:dyDescent="0.25">
      <c r="A8" s="155"/>
      <c r="B8" s="157"/>
      <c r="C8" s="160"/>
      <c r="D8" s="123">
        <v>1</v>
      </c>
      <c r="E8" s="123">
        <v>2</v>
      </c>
      <c r="F8" s="123">
        <v>3</v>
      </c>
      <c r="G8" s="123" t="s">
        <v>8</v>
      </c>
      <c r="H8" s="157"/>
      <c r="I8" s="160"/>
      <c r="J8" s="123" t="s">
        <v>10</v>
      </c>
      <c r="K8" s="124" t="s">
        <v>11</v>
      </c>
    </row>
    <row r="9" spans="1:11" ht="12.6" customHeight="1" x14ac:dyDescent="0.2">
      <c r="A9" s="125"/>
      <c r="B9" s="122"/>
      <c r="C9" s="122"/>
      <c r="D9" s="122"/>
      <c r="E9" s="122"/>
      <c r="F9" s="122"/>
      <c r="G9" s="122"/>
      <c r="H9" s="122"/>
      <c r="I9" s="122"/>
      <c r="J9" s="122"/>
      <c r="K9" s="122"/>
    </row>
    <row r="10" spans="1:11" ht="12.6" customHeight="1" x14ac:dyDescent="0.2">
      <c r="A10" s="126" t="s">
        <v>12</v>
      </c>
      <c r="B10" s="99">
        <v>14383</v>
      </c>
      <c r="C10" s="99">
        <f>SUM(D10:G10)</f>
        <v>1357</v>
      </c>
      <c r="D10" s="99">
        <v>777</v>
      </c>
      <c r="E10" s="99">
        <v>456</v>
      </c>
      <c r="F10" s="99">
        <v>87</v>
      </c>
      <c r="G10" s="99">
        <v>37</v>
      </c>
      <c r="H10" s="100">
        <v>1.56</v>
      </c>
      <c r="I10" s="99">
        <f>C10-J10</f>
        <v>1027</v>
      </c>
      <c r="J10" s="99">
        <v>330</v>
      </c>
      <c r="K10" s="101">
        <f>+J10/C10*100</f>
        <v>24.318349299926307</v>
      </c>
    </row>
    <row r="11" spans="1:11" ht="12.6" customHeight="1" x14ac:dyDescent="0.2">
      <c r="A11" s="126" t="s">
        <v>13</v>
      </c>
      <c r="B11" s="99">
        <v>13670</v>
      </c>
      <c r="C11" s="99">
        <f>SUM(D11:G11)</f>
        <v>2418</v>
      </c>
      <c r="D11" s="99">
        <v>1302</v>
      </c>
      <c r="E11" s="99">
        <v>819</v>
      </c>
      <c r="F11" s="99">
        <v>235</v>
      </c>
      <c r="G11" s="99">
        <v>62</v>
      </c>
      <c r="H11" s="100">
        <v>1.62</v>
      </c>
      <c r="I11" s="99">
        <f>C11-J11</f>
        <v>1864</v>
      </c>
      <c r="J11" s="99">
        <v>554</v>
      </c>
      <c r="K11" s="101">
        <f>+J11/C11*100</f>
        <v>22.911497105045491</v>
      </c>
    </row>
    <row r="12" spans="1:11" ht="12.6" customHeight="1" x14ac:dyDescent="0.2">
      <c r="A12" s="126" t="s">
        <v>14</v>
      </c>
      <c r="B12" s="99">
        <v>26602</v>
      </c>
      <c r="C12" s="99">
        <f>SUM(D12:G12)</f>
        <v>4177</v>
      </c>
      <c r="D12" s="99">
        <v>2308</v>
      </c>
      <c r="E12" s="99">
        <v>1428</v>
      </c>
      <c r="F12" s="99">
        <v>361</v>
      </c>
      <c r="G12" s="99">
        <v>80</v>
      </c>
      <c r="H12" s="100">
        <v>1.58</v>
      </c>
      <c r="I12" s="99">
        <f>C12-J12</f>
        <v>3124</v>
      </c>
      <c r="J12" s="99">
        <v>1053</v>
      </c>
      <c r="K12" s="101">
        <f>+J12/C12*100</f>
        <v>25.209480488388795</v>
      </c>
    </row>
    <row r="13" spans="1:11" ht="12.6" customHeight="1" x14ac:dyDescent="0.2">
      <c r="A13" s="126" t="s">
        <v>15</v>
      </c>
      <c r="B13" s="99">
        <v>25302</v>
      </c>
      <c r="C13" s="99">
        <f>SUM(D13:G13)</f>
        <v>3531</v>
      </c>
      <c r="D13" s="99">
        <v>1859</v>
      </c>
      <c r="E13" s="99">
        <v>1312</v>
      </c>
      <c r="F13" s="99">
        <v>305</v>
      </c>
      <c r="G13" s="99">
        <v>55</v>
      </c>
      <c r="H13" s="100">
        <v>1.59</v>
      </c>
      <c r="I13" s="99">
        <f>C13-J13</f>
        <v>2834</v>
      </c>
      <c r="J13" s="99">
        <v>697</v>
      </c>
      <c r="K13" s="101">
        <f>+J13/C13*100</f>
        <v>19.739450580572075</v>
      </c>
    </row>
    <row r="14" spans="1:11" ht="12.6" customHeight="1" x14ac:dyDescent="0.2">
      <c r="A14" s="126" t="s">
        <v>16</v>
      </c>
      <c r="B14" s="99">
        <v>30846</v>
      </c>
      <c r="C14" s="99">
        <f>SUM(D14:G14)</f>
        <v>3961</v>
      </c>
      <c r="D14" s="99">
        <v>2191</v>
      </c>
      <c r="E14" s="99">
        <v>1420</v>
      </c>
      <c r="F14" s="99">
        <v>285</v>
      </c>
      <c r="G14" s="99">
        <v>65</v>
      </c>
      <c r="H14" s="100">
        <v>1.56</v>
      </c>
      <c r="I14" s="99">
        <f>C14-J14</f>
        <v>3099</v>
      </c>
      <c r="J14" s="99">
        <v>862</v>
      </c>
      <c r="K14" s="101">
        <f>+J14/C14*100</f>
        <v>21.762181267356727</v>
      </c>
    </row>
    <row r="15" spans="1:11" ht="3" customHeight="1" x14ac:dyDescent="0.2">
      <c r="A15" s="126"/>
      <c r="B15" s="99"/>
      <c r="C15" s="99"/>
      <c r="D15" s="99"/>
      <c r="E15" s="99"/>
      <c r="F15" s="99"/>
      <c r="G15" s="99"/>
      <c r="H15" s="100"/>
      <c r="I15" s="99"/>
      <c r="J15" s="99"/>
      <c r="K15" s="101"/>
    </row>
    <row r="16" spans="1:11" ht="12.6" customHeight="1" x14ac:dyDescent="0.2">
      <c r="A16" s="128" t="s">
        <v>17</v>
      </c>
      <c r="B16" s="99">
        <f t="shared" ref="B16:G16" si="0">SUM(B10:B14)</f>
        <v>110803</v>
      </c>
      <c r="C16" s="99">
        <f t="shared" si="0"/>
        <v>15444</v>
      </c>
      <c r="D16" s="99">
        <f t="shared" si="0"/>
        <v>8437</v>
      </c>
      <c r="E16" s="99">
        <f t="shared" si="0"/>
        <v>5435</v>
      </c>
      <c r="F16" s="99">
        <f t="shared" si="0"/>
        <v>1273</v>
      </c>
      <c r="G16" s="99">
        <f t="shared" si="0"/>
        <v>299</v>
      </c>
      <c r="H16" s="100">
        <v>1.58</v>
      </c>
      <c r="I16" s="99">
        <f>SUM(I10:I14)</f>
        <v>11948</v>
      </c>
      <c r="J16" s="99">
        <f>SUM(J10:J14)</f>
        <v>3496</v>
      </c>
      <c r="K16" s="101">
        <f>+J16/C16*100</f>
        <v>22.636622636622636</v>
      </c>
    </row>
    <row r="17" spans="1:11" ht="3" customHeight="1" x14ac:dyDescent="0.2">
      <c r="A17" s="129"/>
      <c r="B17" s="105"/>
      <c r="C17" s="105"/>
      <c r="D17" s="105"/>
      <c r="E17" s="105"/>
      <c r="F17" s="105"/>
      <c r="G17" s="105"/>
      <c r="H17" s="106"/>
      <c r="I17" s="105"/>
      <c r="J17" s="105"/>
      <c r="K17" s="107"/>
    </row>
    <row r="18" spans="1:11" ht="12.6" customHeight="1" x14ac:dyDescent="0.2">
      <c r="A18" s="126" t="s">
        <v>18</v>
      </c>
      <c r="B18" s="99">
        <v>35309</v>
      </c>
      <c r="C18" s="99">
        <f t="shared" ref="C18:C35" si="1">SUM(D18:G18)</f>
        <v>6856</v>
      </c>
      <c r="D18" s="99">
        <v>3451</v>
      </c>
      <c r="E18" s="99">
        <v>2511</v>
      </c>
      <c r="F18" s="99">
        <v>726</v>
      </c>
      <c r="G18" s="99">
        <v>168</v>
      </c>
      <c r="H18" s="100">
        <v>1.66</v>
      </c>
      <c r="I18" s="99">
        <f>C18-J18</f>
        <v>5391</v>
      </c>
      <c r="J18" s="99">
        <v>1465</v>
      </c>
      <c r="K18" s="101">
        <f t="shared" ref="K18:K35" si="2">+J18/C18*100</f>
        <v>21.368144690781797</v>
      </c>
    </row>
    <row r="19" spans="1:11" ht="12.6" customHeight="1" x14ac:dyDescent="0.2">
      <c r="A19" s="126" t="s">
        <v>19</v>
      </c>
      <c r="B19" s="99">
        <v>3423</v>
      </c>
      <c r="C19" s="99">
        <f t="shared" si="1"/>
        <v>637</v>
      </c>
      <c r="D19" s="99">
        <v>283</v>
      </c>
      <c r="E19" s="99">
        <v>275</v>
      </c>
      <c r="F19" s="99">
        <v>58</v>
      </c>
      <c r="G19" s="99">
        <v>21</v>
      </c>
      <c r="H19" s="100">
        <v>1.72</v>
      </c>
      <c r="I19" s="99">
        <f t="shared" ref="I19:I35" si="3">C19-J19</f>
        <v>514</v>
      </c>
      <c r="J19" s="99">
        <v>123</v>
      </c>
      <c r="K19" s="101">
        <f t="shared" si="2"/>
        <v>19.309262166405023</v>
      </c>
    </row>
    <row r="20" spans="1:11" ht="12.6" customHeight="1" x14ac:dyDescent="0.2">
      <c r="A20" s="126" t="s">
        <v>20</v>
      </c>
      <c r="B20" s="99">
        <v>6493</v>
      </c>
      <c r="C20" s="99">
        <f t="shared" si="1"/>
        <v>1210</v>
      </c>
      <c r="D20" s="99">
        <v>578</v>
      </c>
      <c r="E20" s="99">
        <v>478</v>
      </c>
      <c r="F20" s="99">
        <v>116</v>
      </c>
      <c r="G20" s="99">
        <v>38</v>
      </c>
      <c r="H20" s="100">
        <v>1.69</v>
      </c>
      <c r="I20" s="99">
        <f t="shared" si="3"/>
        <v>987</v>
      </c>
      <c r="J20" s="99">
        <v>223</v>
      </c>
      <c r="K20" s="101">
        <f t="shared" si="2"/>
        <v>18.429752066115704</v>
      </c>
    </row>
    <row r="21" spans="1:11" ht="12.6" customHeight="1" x14ac:dyDescent="0.2">
      <c r="A21" s="126" t="s">
        <v>21</v>
      </c>
      <c r="B21" s="99">
        <v>8486</v>
      </c>
      <c r="C21" s="99">
        <f t="shared" si="1"/>
        <v>1512</v>
      </c>
      <c r="D21" s="99">
        <v>739</v>
      </c>
      <c r="E21" s="99">
        <v>603</v>
      </c>
      <c r="F21" s="99">
        <v>147</v>
      </c>
      <c r="G21" s="99">
        <v>23</v>
      </c>
      <c r="H21" s="100">
        <v>1.64</v>
      </c>
      <c r="I21" s="99">
        <f t="shared" si="3"/>
        <v>1266</v>
      </c>
      <c r="J21" s="99">
        <v>246</v>
      </c>
      <c r="K21" s="101">
        <f t="shared" si="2"/>
        <v>16.269841269841269</v>
      </c>
    </row>
    <row r="22" spans="1:11" ht="12.6" customHeight="1" x14ac:dyDescent="0.2">
      <c r="A22" s="126" t="s">
        <v>22</v>
      </c>
      <c r="B22" s="99">
        <v>14834</v>
      </c>
      <c r="C22" s="99">
        <f t="shared" si="1"/>
        <v>2726</v>
      </c>
      <c r="D22" s="99">
        <v>1360</v>
      </c>
      <c r="E22" s="99">
        <v>1034</v>
      </c>
      <c r="F22" s="99">
        <v>272</v>
      </c>
      <c r="G22" s="99">
        <v>60</v>
      </c>
      <c r="H22" s="100">
        <v>1.65</v>
      </c>
      <c r="I22" s="99">
        <f t="shared" si="3"/>
        <v>2231</v>
      </c>
      <c r="J22" s="99">
        <v>495</v>
      </c>
      <c r="K22" s="101">
        <f t="shared" si="2"/>
        <v>18.158473954512104</v>
      </c>
    </row>
    <row r="23" spans="1:11" ht="12.6" customHeight="1" x14ac:dyDescent="0.2">
      <c r="A23" s="126" t="s">
        <v>23</v>
      </c>
      <c r="B23" s="99">
        <v>4725</v>
      </c>
      <c r="C23" s="99">
        <f t="shared" si="1"/>
        <v>967</v>
      </c>
      <c r="D23" s="99">
        <v>504</v>
      </c>
      <c r="E23" s="99">
        <v>340</v>
      </c>
      <c r="F23" s="99">
        <v>102</v>
      </c>
      <c r="G23" s="99">
        <v>21</v>
      </c>
      <c r="H23" s="100">
        <v>1.63</v>
      </c>
      <c r="I23" s="99">
        <f t="shared" si="3"/>
        <v>775</v>
      </c>
      <c r="J23" s="99">
        <v>192</v>
      </c>
      <c r="K23" s="101">
        <f t="shared" si="2"/>
        <v>19.855222337125127</v>
      </c>
    </row>
    <row r="24" spans="1:11" ht="12.6" customHeight="1" x14ac:dyDescent="0.2">
      <c r="A24" s="126" t="s">
        <v>24</v>
      </c>
      <c r="B24" s="99">
        <v>15537</v>
      </c>
      <c r="C24" s="99">
        <f t="shared" si="1"/>
        <v>2861</v>
      </c>
      <c r="D24" s="99">
        <v>1464</v>
      </c>
      <c r="E24" s="99">
        <v>1075</v>
      </c>
      <c r="F24" s="99">
        <v>272</v>
      </c>
      <c r="G24" s="99">
        <v>50</v>
      </c>
      <c r="H24" s="100">
        <v>1.62</v>
      </c>
      <c r="I24" s="99">
        <f t="shared" si="3"/>
        <v>2363</v>
      </c>
      <c r="J24" s="99">
        <v>498</v>
      </c>
      <c r="K24" s="101">
        <f t="shared" si="2"/>
        <v>17.406501223348481</v>
      </c>
    </row>
    <row r="25" spans="1:11" ht="12.6" customHeight="1" x14ac:dyDescent="0.2">
      <c r="A25" s="126" t="s">
        <v>25</v>
      </c>
      <c r="B25" s="99">
        <v>12016</v>
      </c>
      <c r="C25" s="99">
        <f t="shared" si="1"/>
        <v>2450</v>
      </c>
      <c r="D25" s="99">
        <v>1269</v>
      </c>
      <c r="E25" s="99">
        <v>897</v>
      </c>
      <c r="F25" s="99">
        <v>241</v>
      </c>
      <c r="G25" s="99">
        <v>43</v>
      </c>
      <c r="H25" s="100">
        <v>1.62</v>
      </c>
      <c r="I25" s="99">
        <f t="shared" si="3"/>
        <v>1924</v>
      </c>
      <c r="J25" s="99">
        <v>526</v>
      </c>
      <c r="K25" s="101">
        <f t="shared" si="2"/>
        <v>21.469387755102041</v>
      </c>
    </row>
    <row r="26" spans="1:11" ht="12.6" customHeight="1" x14ac:dyDescent="0.2">
      <c r="A26" s="126" t="s">
        <v>26</v>
      </c>
      <c r="B26" s="99">
        <v>3299</v>
      </c>
      <c r="C26" s="99">
        <f t="shared" si="1"/>
        <v>587</v>
      </c>
      <c r="D26" s="99">
        <v>313</v>
      </c>
      <c r="E26" s="99">
        <v>219</v>
      </c>
      <c r="F26" s="99">
        <v>47</v>
      </c>
      <c r="G26" s="99">
        <v>8</v>
      </c>
      <c r="H26" s="100">
        <v>1.58</v>
      </c>
      <c r="I26" s="99">
        <f t="shared" si="3"/>
        <v>461</v>
      </c>
      <c r="J26" s="99">
        <v>126</v>
      </c>
      <c r="K26" s="101">
        <f t="shared" si="2"/>
        <v>21.465076660988075</v>
      </c>
    </row>
    <row r="27" spans="1:11" ht="12.6" customHeight="1" x14ac:dyDescent="0.2">
      <c r="A27" s="126" t="s">
        <v>27</v>
      </c>
      <c r="B27" s="99">
        <v>4174</v>
      </c>
      <c r="C27" s="99">
        <f t="shared" si="1"/>
        <v>860</v>
      </c>
      <c r="D27" s="99">
        <v>432</v>
      </c>
      <c r="E27" s="99">
        <v>320</v>
      </c>
      <c r="F27" s="99">
        <v>91</v>
      </c>
      <c r="G27" s="99">
        <v>17</v>
      </c>
      <c r="H27" s="100">
        <v>1.65</v>
      </c>
      <c r="I27" s="99">
        <f t="shared" si="3"/>
        <v>684</v>
      </c>
      <c r="J27" s="99">
        <v>176</v>
      </c>
      <c r="K27" s="101">
        <f t="shared" si="2"/>
        <v>20.465116279069768</v>
      </c>
    </row>
    <row r="28" spans="1:11" ht="12.6" customHeight="1" x14ac:dyDescent="0.2">
      <c r="A28" s="126" t="s">
        <v>28</v>
      </c>
      <c r="B28" s="99">
        <v>6966</v>
      </c>
      <c r="C28" s="99">
        <f t="shared" si="1"/>
        <v>1126</v>
      </c>
      <c r="D28" s="99">
        <v>560</v>
      </c>
      <c r="E28" s="99">
        <v>450</v>
      </c>
      <c r="F28" s="99">
        <v>92</v>
      </c>
      <c r="G28" s="99">
        <v>24</v>
      </c>
      <c r="H28" s="100">
        <v>1.63</v>
      </c>
      <c r="I28" s="99">
        <f t="shared" si="3"/>
        <v>904</v>
      </c>
      <c r="J28" s="99">
        <v>222</v>
      </c>
      <c r="K28" s="101">
        <f t="shared" si="2"/>
        <v>19.715808170515096</v>
      </c>
    </row>
    <row r="29" spans="1:11" ht="12.6" customHeight="1" x14ac:dyDescent="0.2">
      <c r="A29" s="126" t="s">
        <v>29</v>
      </c>
      <c r="B29" s="99">
        <v>11907</v>
      </c>
      <c r="C29" s="99">
        <f t="shared" si="1"/>
        <v>2315</v>
      </c>
      <c r="D29" s="99">
        <v>1130</v>
      </c>
      <c r="E29" s="99">
        <v>901</v>
      </c>
      <c r="F29" s="99">
        <v>238</v>
      </c>
      <c r="G29" s="99">
        <v>46</v>
      </c>
      <c r="H29" s="100">
        <v>1.66</v>
      </c>
      <c r="I29" s="99">
        <f t="shared" si="3"/>
        <v>1855</v>
      </c>
      <c r="J29" s="99">
        <v>460</v>
      </c>
      <c r="K29" s="101">
        <f t="shared" si="2"/>
        <v>19.870410367170628</v>
      </c>
    </row>
    <row r="30" spans="1:11" ht="12.6" customHeight="1" x14ac:dyDescent="0.2">
      <c r="A30" s="126" t="s">
        <v>30</v>
      </c>
      <c r="B30" s="99">
        <v>5800</v>
      </c>
      <c r="C30" s="99">
        <f t="shared" si="1"/>
        <v>1173</v>
      </c>
      <c r="D30" s="99">
        <v>607</v>
      </c>
      <c r="E30" s="99">
        <v>435</v>
      </c>
      <c r="F30" s="99">
        <v>110</v>
      </c>
      <c r="G30" s="99">
        <v>21</v>
      </c>
      <c r="H30" s="100">
        <v>1.62</v>
      </c>
      <c r="I30" s="99">
        <f t="shared" si="3"/>
        <v>946</v>
      </c>
      <c r="J30" s="99">
        <v>227</v>
      </c>
      <c r="K30" s="101">
        <f t="shared" si="2"/>
        <v>19.352088661551576</v>
      </c>
    </row>
    <row r="31" spans="1:11" ht="12.6" customHeight="1" x14ac:dyDescent="0.2">
      <c r="A31" s="126" t="s">
        <v>31</v>
      </c>
      <c r="B31" s="99">
        <v>8289</v>
      </c>
      <c r="C31" s="99">
        <f t="shared" si="1"/>
        <v>1630</v>
      </c>
      <c r="D31" s="99">
        <v>827</v>
      </c>
      <c r="E31" s="99">
        <v>631</v>
      </c>
      <c r="F31" s="99">
        <v>134</v>
      </c>
      <c r="G31" s="99">
        <v>38</v>
      </c>
      <c r="H31" s="100">
        <v>1.63</v>
      </c>
      <c r="I31" s="99">
        <f t="shared" si="3"/>
        <v>1272</v>
      </c>
      <c r="J31" s="99">
        <v>358</v>
      </c>
      <c r="K31" s="101">
        <f t="shared" si="2"/>
        <v>21.963190184049079</v>
      </c>
    </row>
    <row r="32" spans="1:11" ht="12.6" customHeight="1" x14ac:dyDescent="0.2">
      <c r="A32" s="126" t="s">
        <v>32</v>
      </c>
      <c r="B32" s="99">
        <v>23573</v>
      </c>
      <c r="C32" s="99">
        <f t="shared" si="1"/>
        <v>4229</v>
      </c>
      <c r="D32" s="99">
        <v>1989</v>
      </c>
      <c r="E32" s="99">
        <v>1740</v>
      </c>
      <c r="F32" s="99">
        <v>397</v>
      </c>
      <c r="G32" s="99">
        <v>103</v>
      </c>
      <c r="H32" s="100">
        <v>1.68</v>
      </c>
      <c r="I32" s="99">
        <f t="shared" si="3"/>
        <v>3518</v>
      </c>
      <c r="J32" s="99">
        <v>711</v>
      </c>
      <c r="K32" s="101">
        <f t="shared" si="2"/>
        <v>16.812485221092459</v>
      </c>
    </row>
    <row r="33" spans="1:11" ht="12.6" customHeight="1" x14ac:dyDescent="0.2">
      <c r="A33" s="126" t="s">
        <v>33</v>
      </c>
      <c r="B33" s="99">
        <v>4571</v>
      </c>
      <c r="C33" s="99">
        <f t="shared" si="1"/>
        <v>829</v>
      </c>
      <c r="D33" s="99">
        <v>411</v>
      </c>
      <c r="E33" s="99">
        <v>298</v>
      </c>
      <c r="F33" s="99">
        <v>87</v>
      </c>
      <c r="G33" s="99">
        <v>33</v>
      </c>
      <c r="H33" s="100">
        <v>1.71</v>
      </c>
      <c r="I33" s="99">
        <f t="shared" si="3"/>
        <v>652</v>
      </c>
      <c r="J33" s="99">
        <v>177</v>
      </c>
      <c r="K33" s="101">
        <f t="shared" si="2"/>
        <v>21.351025331724969</v>
      </c>
    </row>
    <row r="34" spans="1:11" ht="12.6" customHeight="1" x14ac:dyDescent="0.2">
      <c r="A34" s="126" t="s">
        <v>34</v>
      </c>
      <c r="B34" s="99">
        <v>14501</v>
      </c>
      <c r="C34" s="99">
        <f t="shared" si="1"/>
        <v>3404</v>
      </c>
      <c r="D34" s="99">
        <v>1688</v>
      </c>
      <c r="E34" s="99">
        <v>1322</v>
      </c>
      <c r="F34" s="99">
        <v>327</v>
      </c>
      <c r="G34" s="99">
        <v>67</v>
      </c>
      <c r="H34" s="100">
        <v>1.65</v>
      </c>
      <c r="I34" s="99">
        <f t="shared" si="3"/>
        <v>2762</v>
      </c>
      <c r="J34" s="99">
        <v>642</v>
      </c>
      <c r="K34" s="101">
        <f t="shared" si="2"/>
        <v>18.860164512338425</v>
      </c>
    </row>
    <row r="35" spans="1:11" ht="12.6" customHeight="1" x14ac:dyDescent="0.2">
      <c r="A35" s="126" t="s">
        <v>35</v>
      </c>
      <c r="B35" s="99">
        <v>18001</v>
      </c>
      <c r="C35" s="99">
        <f t="shared" si="1"/>
        <v>3793</v>
      </c>
      <c r="D35" s="99">
        <v>1878</v>
      </c>
      <c r="E35" s="99">
        <v>1413</v>
      </c>
      <c r="F35" s="99">
        <v>405</v>
      </c>
      <c r="G35" s="99">
        <v>97</v>
      </c>
      <c r="H35" s="100">
        <v>1.67</v>
      </c>
      <c r="I35" s="99">
        <f t="shared" si="3"/>
        <v>3007</v>
      </c>
      <c r="J35" s="99">
        <v>786</v>
      </c>
      <c r="K35" s="101">
        <f t="shared" si="2"/>
        <v>20.722383337727393</v>
      </c>
    </row>
    <row r="36" spans="1:11" ht="3" customHeight="1" x14ac:dyDescent="0.2">
      <c r="A36" s="126"/>
      <c r="B36" s="99"/>
      <c r="C36" s="99"/>
      <c r="D36" s="99"/>
      <c r="E36" s="99"/>
      <c r="F36" s="99"/>
      <c r="G36" s="99"/>
      <c r="H36" s="100"/>
      <c r="I36" s="99"/>
      <c r="J36" s="99"/>
      <c r="K36" s="101"/>
    </row>
    <row r="37" spans="1:11" ht="12.6" customHeight="1" x14ac:dyDescent="0.2">
      <c r="A37" s="128" t="s">
        <v>36</v>
      </c>
      <c r="B37" s="99">
        <f t="shared" ref="B37:G37" si="4">SUM(B18:B35)</f>
        <v>201904</v>
      </c>
      <c r="C37" s="99">
        <f t="shared" si="4"/>
        <v>39165</v>
      </c>
      <c r="D37" s="99">
        <f t="shared" si="4"/>
        <v>19483</v>
      </c>
      <c r="E37" s="99">
        <f t="shared" si="4"/>
        <v>14942</v>
      </c>
      <c r="F37" s="99">
        <f t="shared" si="4"/>
        <v>3862</v>
      </c>
      <c r="G37" s="99">
        <f t="shared" si="4"/>
        <v>878</v>
      </c>
      <c r="H37" s="100">
        <v>1.65</v>
      </c>
      <c r="I37" s="99">
        <f>SUM(I18:I35)</f>
        <v>31512</v>
      </c>
      <c r="J37" s="99">
        <f>SUM(J18:J35)</f>
        <v>7653</v>
      </c>
      <c r="K37" s="101">
        <f>+J37/C37*100</f>
        <v>19.540405974722326</v>
      </c>
    </row>
    <row r="38" spans="1:11" ht="3" customHeight="1" x14ac:dyDescent="0.2">
      <c r="A38" s="129"/>
      <c r="B38" s="105"/>
      <c r="C38" s="99"/>
      <c r="D38" s="105"/>
      <c r="E38" s="105"/>
      <c r="F38" s="105"/>
      <c r="G38" s="105"/>
      <c r="H38" s="100"/>
      <c r="I38" s="105"/>
      <c r="J38" s="105"/>
      <c r="K38" s="107"/>
    </row>
    <row r="39" spans="1:11" ht="12.6" customHeight="1" x14ac:dyDescent="0.2">
      <c r="A39" s="128" t="s">
        <v>37</v>
      </c>
      <c r="B39" s="109">
        <f>B16+B37</f>
        <v>312707</v>
      </c>
      <c r="C39" s="110">
        <f>SUM(D39:G39)</f>
        <v>54609</v>
      </c>
      <c r="D39" s="109">
        <f>D16+D37</f>
        <v>27920</v>
      </c>
      <c r="E39" s="109">
        <f>E16+E37</f>
        <v>20377</v>
      </c>
      <c r="F39" s="109">
        <f>F16+F37</f>
        <v>5135</v>
      </c>
      <c r="G39" s="109">
        <f>G16+G37</f>
        <v>1177</v>
      </c>
      <c r="H39" s="136">
        <v>1.63</v>
      </c>
      <c r="I39" s="109">
        <f>I16+I37</f>
        <v>43460</v>
      </c>
      <c r="J39" s="109">
        <f>J16+J37</f>
        <v>11149</v>
      </c>
      <c r="K39" s="111">
        <f>+J39/C39*100</f>
        <v>20.416048636671611</v>
      </c>
    </row>
    <row r="40" spans="1:11" ht="12.6" customHeight="1" x14ac:dyDescent="0.2">
      <c r="A40" s="130" t="s">
        <v>76</v>
      </c>
      <c r="B40" s="113"/>
      <c r="C40" s="114"/>
      <c r="D40" s="114"/>
      <c r="E40" s="114"/>
      <c r="F40" s="114"/>
      <c r="G40" s="115"/>
      <c r="H40" s="114"/>
      <c r="I40" s="114"/>
      <c r="J40" s="114"/>
      <c r="K40" s="114"/>
    </row>
    <row r="41" spans="1:11" ht="12.6" customHeight="1" x14ac:dyDescent="0.2">
      <c r="A41" s="131" t="s">
        <v>93</v>
      </c>
      <c r="B41" s="122"/>
      <c r="C41" s="122"/>
      <c r="D41" s="122"/>
      <c r="E41" s="122"/>
      <c r="F41" s="122"/>
      <c r="G41" s="132"/>
      <c r="H41" s="122"/>
      <c r="I41" s="122"/>
      <c r="J41" s="122"/>
      <c r="K41" s="122"/>
    </row>
  </sheetData>
  <mergeCells count="8">
    <mergeCell ref="A6:A8"/>
    <mergeCell ref="B6:B8"/>
    <mergeCell ref="C6:K6"/>
    <mergeCell ref="C7:C8"/>
    <mergeCell ref="D7:G7"/>
    <mergeCell ref="H7:H8"/>
    <mergeCell ref="I7:I8"/>
    <mergeCell ref="J7:K7"/>
  </mergeCells>
  <pageMargins left="0.59055118110236227" right="0.59055118110236227" top="0.59055118110236227" bottom="0.59055118110236227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7">
    <pageSetUpPr fitToPage="1"/>
  </sheetPr>
  <dimension ref="A1:K41"/>
  <sheetViews>
    <sheetView workbookViewId="0">
      <selection activeCell="A41" sqref="A41"/>
    </sheetView>
  </sheetViews>
  <sheetFormatPr baseColWidth="10" defaultColWidth="9.83203125" defaultRowHeight="12.75" customHeight="1" x14ac:dyDescent="0.2"/>
  <cols>
    <col min="1" max="1" width="21.1640625" style="117" customWidth="1"/>
    <col min="2" max="2" width="10.5" style="117" customWidth="1"/>
    <col min="3" max="3" width="9.6640625" style="117" customWidth="1"/>
    <col min="4" max="4" width="9.1640625" style="117" customWidth="1"/>
    <col min="5" max="7" width="9" style="117" customWidth="1"/>
    <col min="8" max="8" width="10.6640625" style="117" customWidth="1"/>
    <col min="9" max="10" width="9" style="117" customWidth="1"/>
    <col min="11" max="11" width="11.5" style="117" bestFit="1" customWidth="1"/>
    <col min="12" max="16384" width="9.83203125" style="117"/>
  </cols>
  <sheetData>
    <row r="1" spans="1:11" ht="12.75" customHeight="1" x14ac:dyDescent="0.2">
      <c r="A1" s="49" t="s">
        <v>77</v>
      </c>
      <c r="B1" s="49"/>
      <c r="C1" s="49"/>
      <c r="D1" s="49"/>
      <c r="E1" s="49"/>
      <c r="F1" s="49"/>
      <c r="G1" s="49"/>
      <c r="H1" s="87"/>
      <c r="I1" s="87"/>
      <c r="J1" s="87"/>
      <c r="K1" s="87"/>
    </row>
    <row r="3" spans="1:11" ht="12.6" customHeight="1" x14ac:dyDescent="0.2">
      <c r="A3" s="118" t="s">
        <v>94</v>
      </c>
      <c r="B3" s="119"/>
      <c r="C3" s="119"/>
      <c r="D3" s="119"/>
      <c r="E3" s="119"/>
      <c r="F3" s="119"/>
      <c r="G3" s="119"/>
      <c r="H3" s="119"/>
      <c r="I3" s="119"/>
      <c r="J3" s="119"/>
      <c r="K3" s="119"/>
    </row>
    <row r="4" spans="1:11" ht="12.6" customHeight="1" x14ac:dyDescent="0.2">
      <c r="A4" s="120" t="s">
        <v>78</v>
      </c>
      <c r="B4" s="119"/>
      <c r="C4" s="119"/>
      <c r="D4" s="119"/>
      <c r="E4" s="119"/>
      <c r="F4" s="119"/>
      <c r="G4" s="119"/>
      <c r="H4" s="119"/>
      <c r="I4" s="119"/>
      <c r="J4" s="119"/>
      <c r="K4" s="119"/>
    </row>
    <row r="5" spans="1:11" ht="12.6" customHeight="1" x14ac:dyDescent="0.2">
      <c r="A5" s="121"/>
      <c r="B5" s="122"/>
      <c r="C5" s="122"/>
      <c r="D5" s="122"/>
      <c r="E5" s="122"/>
      <c r="F5" s="122"/>
      <c r="G5" s="122"/>
      <c r="H5" s="122"/>
      <c r="I5" s="122"/>
      <c r="J5" s="122"/>
      <c r="K5" s="122"/>
    </row>
    <row r="6" spans="1:11" ht="12.6" customHeight="1" thickBot="1" x14ac:dyDescent="0.25">
      <c r="A6" s="154" t="s">
        <v>2</v>
      </c>
      <c r="B6" s="156" t="s">
        <v>92</v>
      </c>
      <c r="C6" s="158" t="s">
        <v>74</v>
      </c>
      <c r="D6" s="158"/>
      <c r="E6" s="158"/>
      <c r="F6" s="158"/>
      <c r="G6" s="158"/>
      <c r="H6" s="158"/>
      <c r="I6" s="158"/>
      <c r="J6" s="158"/>
      <c r="K6" s="159"/>
    </row>
    <row r="7" spans="1:11" ht="12.6" customHeight="1" thickBot="1" x14ac:dyDescent="0.25">
      <c r="A7" s="155"/>
      <c r="B7" s="157"/>
      <c r="C7" s="160" t="s">
        <v>3</v>
      </c>
      <c r="D7" s="160" t="s">
        <v>4</v>
      </c>
      <c r="E7" s="160"/>
      <c r="F7" s="160"/>
      <c r="G7" s="160"/>
      <c r="H7" s="157" t="s">
        <v>75</v>
      </c>
      <c r="I7" s="160" t="s">
        <v>6</v>
      </c>
      <c r="J7" s="161" t="s">
        <v>7</v>
      </c>
      <c r="K7" s="162"/>
    </row>
    <row r="8" spans="1:11" ht="12.6" customHeight="1" thickBot="1" x14ac:dyDescent="0.25">
      <c r="A8" s="155"/>
      <c r="B8" s="157"/>
      <c r="C8" s="160"/>
      <c r="D8" s="123">
        <v>1</v>
      </c>
      <c r="E8" s="123">
        <v>2</v>
      </c>
      <c r="F8" s="123">
        <v>3</v>
      </c>
      <c r="G8" s="123" t="s">
        <v>8</v>
      </c>
      <c r="H8" s="157"/>
      <c r="I8" s="160"/>
      <c r="J8" s="123" t="s">
        <v>10</v>
      </c>
      <c r="K8" s="124" t="s">
        <v>11</v>
      </c>
    </row>
    <row r="9" spans="1:11" ht="12.6" customHeight="1" x14ac:dyDescent="0.2">
      <c r="A9" s="125"/>
      <c r="B9" s="122"/>
      <c r="C9" s="122"/>
      <c r="D9" s="122"/>
      <c r="E9" s="122"/>
      <c r="F9" s="122"/>
      <c r="G9" s="122"/>
      <c r="H9" s="122"/>
      <c r="I9" s="122"/>
      <c r="J9" s="122"/>
      <c r="K9" s="122"/>
    </row>
    <row r="10" spans="1:11" ht="12.6" customHeight="1" x14ac:dyDescent="0.2">
      <c r="A10" s="126" t="s">
        <v>12</v>
      </c>
      <c r="B10" s="99">
        <v>14025</v>
      </c>
      <c r="C10" s="99">
        <f>SUM(D10:G10)</f>
        <v>1369</v>
      </c>
      <c r="D10" s="99">
        <v>799</v>
      </c>
      <c r="E10" s="99">
        <v>443</v>
      </c>
      <c r="F10" s="99">
        <v>93</v>
      </c>
      <c r="G10" s="99">
        <v>34</v>
      </c>
      <c r="H10" s="100">
        <v>1.55</v>
      </c>
      <c r="I10" s="99">
        <f>C10-J10</f>
        <v>1052</v>
      </c>
      <c r="J10" s="99">
        <v>317</v>
      </c>
      <c r="K10" s="101">
        <f>+J10/C10*100</f>
        <v>23.155588020452885</v>
      </c>
    </row>
    <row r="11" spans="1:11" ht="12.6" customHeight="1" x14ac:dyDescent="0.2">
      <c r="A11" s="126" t="s">
        <v>13</v>
      </c>
      <c r="B11" s="99">
        <v>13248</v>
      </c>
      <c r="C11" s="99">
        <f>SUM(D11:G11)</f>
        <v>2365</v>
      </c>
      <c r="D11" s="99">
        <v>1245</v>
      </c>
      <c r="E11" s="99">
        <v>841</v>
      </c>
      <c r="F11" s="99">
        <v>222</v>
      </c>
      <c r="G11" s="99">
        <v>57</v>
      </c>
      <c r="H11" s="100">
        <v>1.62</v>
      </c>
      <c r="I11" s="99">
        <f>C11-J11</f>
        <v>1820</v>
      </c>
      <c r="J11" s="99">
        <v>545</v>
      </c>
      <c r="K11" s="101">
        <f>+J11/C11*100</f>
        <v>23.044397463002113</v>
      </c>
    </row>
    <row r="12" spans="1:11" ht="12.6" customHeight="1" x14ac:dyDescent="0.2">
      <c r="A12" s="126" t="s">
        <v>14</v>
      </c>
      <c r="B12" s="99">
        <v>26199</v>
      </c>
      <c r="C12" s="99">
        <f>SUM(D12:G12)</f>
        <v>4187</v>
      </c>
      <c r="D12" s="99">
        <v>2278</v>
      </c>
      <c r="E12" s="99">
        <v>1462</v>
      </c>
      <c r="F12" s="99">
        <v>363</v>
      </c>
      <c r="G12" s="99">
        <v>84</v>
      </c>
      <c r="H12" s="100">
        <v>1.59</v>
      </c>
      <c r="I12" s="99">
        <f>C12-J12</f>
        <v>3091</v>
      </c>
      <c r="J12" s="99">
        <v>1096</v>
      </c>
      <c r="K12" s="101">
        <f>+J12/C12*100</f>
        <v>26.176259851922616</v>
      </c>
    </row>
    <row r="13" spans="1:11" ht="12.6" customHeight="1" x14ac:dyDescent="0.2">
      <c r="A13" s="126" t="s">
        <v>15</v>
      </c>
      <c r="B13" s="99">
        <v>25191</v>
      </c>
      <c r="C13" s="99">
        <f>SUM(D13:G13)</f>
        <v>3587</v>
      </c>
      <c r="D13" s="99">
        <v>1945</v>
      </c>
      <c r="E13" s="99">
        <v>1277</v>
      </c>
      <c r="F13" s="99">
        <v>301</v>
      </c>
      <c r="G13" s="99">
        <v>64</v>
      </c>
      <c r="H13" s="100">
        <v>1.58</v>
      </c>
      <c r="I13" s="99">
        <f>C13-J13</f>
        <v>2870</v>
      </c>
      <c r="J13" s="99">
        <v>717</v>
      </c>
      <c r="K13" s="101">
        <f>+J13/C13*100</f>
        <v>19.988848620016729</v>
      </c>
    </row>
    <row r="14" spans="1:11" ht="12.6" customHeight="1" x14ac:dyDescent="0.2">
      <c r="A14" s="126" t="s">
        <v>16</v>
      </c>
      <c r="B14" s="99">
        <v>30681</v>
      </c>
      <c r="C14" s="99">
        <f>SUM(D14:G14)</f>
        <v>3908</v>
      </c>
      <c r="D14" s="99">
        <v>2181</v>
      </c>
      <c r="E14" s="99">
        <v>1382</v>
      </c>
      <c r="F14" s="99">
        <v>278</v>
      </c>
      <c r="G14" s="99">
        <v>67</v>
      </c>
      <c r="H14" s="100">
        <v>1.55</v>
      </c>
      <c r="I14" s="99">
        <f>C14-J14</f>
        <v>3088</v>
      </c>
      <c r="J14" s="99">
        <v>820</v>
      </c>
      <c r="K14" s="101">
        <f>+J14/C14*100</f>
        <v>20.982599795291708</v>
      </c>
    </row>
    <row r="15" spans="1:11" ht="3" customHeight="1" x14ac:dyDescent="0.2">
      <c r="A15" s="126"/>
      <c r="B15" s="99"/>
      <c r="C15" s="99"/>
      <c r="D15" s="99"/>
      <c r="E15" s="99"/>
      <c r="F15" s="99"/>
      <c r="G15" s="99"/>
      <c r="H15" s="100"/>
      <c r="I15" s="99"/>
      <c r="J15" s="99"/>
      <c r="K15" s="101"/>
    </row>
    <row r="16" spans="1:11" ht="12.6" customHeight="1" x14ac:dyDescent="0.2">
      <c r="A16" s="128" t="s">
        <v>17</v>
      </c>
      <c r="B16" s="99">
        <f t="shared" ref="B16:G16" si="0">SUM(B10:B14)</f>
        <v>109344</v>
      </c>
      <c r="C16" s="99">
        <f t="shared" si="0"/>
        <v>15416</v>
      </c>
      <c r="D16" s="99">
        <f t="shared" si="0"/>
        <v>8448</v>
      </c>
      <c r="E16" s="99">
        <f t="shared" si="0"/>
        <v>5405</v>
      </c>
      <c r="F16" s="99">
        <f t="shared" si="0"/>
        <v>1257</v>
      </c>
      <c r="G16" s="99">
        <f t="shared" si="0"/>
        <v>306</v>
      </c>
      <c r="H16" s="100">
        <v>1.58</v>
      </c>
      <c r="I16" s="99">
        <f>SUM(I10:I14)</f>
        <v>11921</v>
      </c>
      <c r="J16" s="99">
        <f>SUM(J10:J14)</f>
        <v>3495</v>
      </c>
      <c r="K16" s="101">
        <f>+J16/C16*100</f>
        <v>22.6712506486767</v>
      </c>
    </row>
    <row r="17" spans="1:11" ht="3" customHeight="1" x14ac:dyDescent="0.2">
      <c r="A17" s="129"/>
      <c r="B17" s="105"/>
      <c r="C17" s="105"/>
      <c r="D17" s="105"/>
      <c r="E17" s="105"/>
      <c r="F17" s="105"/>
      <c r="G17" s="105"/>
      <c r="H17" s="106"/>
      <c r="I17" s="105"/>
      <c r="J17" s="105"/>
      <c r="K17" s="107"/>
    </row>
    <row r="18" spans="1:11" ht="12.6" customHeight="1" x14ac:dyDescent="0.2">
      <c r="A18" s="126" t="s">
        <v>18</v>
      </c>
      <c r="B18" s="99">
        <v>34598</v>
      </c>
      <c r="C18" s="99">
        <f t="shared" ref="C18:C35" si="1">SUM(D18:G18)</f>
        <v>6753</v>
      </c>
      <c r="D18" s="99">
        <v>3366</v>
      </c>
      <c r="E18" s="99">
        <v>2488</v>
      </c>
      <c r="F18" s="99">
        <v>714</v>
      </c>
      <c r="G18" s="99">
        <v>185</v>
      </c>
      <c r="H18" s="100">
        <v>1.67</v>
      </c>
      <c r="I18" s="99">
        <f>C18-J18</f>
        <v>5363</v>
      </c>
      <c r="J18" s="99">
        <v>1390</v>
      </c>
      <c r="K18" s="101">
        <f t="shared" ref="K18:K35" si="2">+J18/C18*100</f>
        <v>20.583444395083667</v>
      </c>
    </row>
    <row r="19" spans="1:11" ht="12.6" customHeight="1" x14ac:dyDescent="0.2">
      <c r="A19" s="126" t="s">
        <v>19</v>
      </c>
      <c r="B19" s="99">
        <v>3385</v>
      </c>
      <c r="C19" s="99">
        <f t="shared" si="1"/>
        <v>618</v>
      </c>
      <c r="D19" s="99">
        <v>286</v>
      </c>
      <c r="E19" s="99">
        <v>250</v>
      </c>
      <c r="F19" s="99">
        <v>65</v>
      </c>
      <c r="G19" s="99">
        <v>17</v>
      </c>
      <c r="H19" s="100">
        <v>1.7</v>
      </c>
      <c r="I19" s="99">
        <f t="shared" ref="I19:I35" si="3">C19-J19</f>
        <v>492</v>
      </c>
      <c r="J19" s="99">
        <v>126</v>
      </c>
      <c r="K19" s="101">
        <f t="shared" si="2"/>
        <v>20.388349514563107</v>
      </c>
    </row>
    <row r="20" spans="1:11" ht="12.6" customHeight="1" x14ac:dyDescent="0.2">
      <c r="A20" s="126" t="s">
        <v>20</v>
      </c>
      <c r="B20" s="99">
        <v>6547</v>
      </c>
      <c r="C20" s="99">
        <f t="shared" si="1"/>
        <v>1196</v>
      </c>
      <c r="D20" s="99">
        <v>573</v>
      </c>
      <c r="E20" s="99">
        <v>482</v>
      </c>
      <c r="F20" s="99">
        <v>104</v>
      </c>
      <c r="G20" s="99">
        <v>37</v>
      </c>
      <c r="H20" s="100">
        <v>1.68</v>
      </c>
      <c r="I20" s="99">
        <f t="shared" si="3"/>
        <v>975</v>
      </c>
      <c r="J20" s="99">
        <v>221</v>
      </c>
      <c r="K20" s="101">
        <f t="shared" si="2"/>
        <v>18.478260869565215</v>
      </c>
    </row>
    <row r="21" spans="1:11" ht="12.6" customHeight="1" x14ac:dyDescent="0.2">
      <c r="A21" s="126" t="s">
        <v>21</v>
      </c>
      <c r="B21" s="99">
        <v>8453</v>
      </c>
      <c r="C21" s="99">
        <f t="shared" si="1"/>
        <v>1518</v>
      </c>
      <c r="D21" s="99">
        <v>762</v>
      </c>
      <c r="E21" s="99">
        <v>582</v>
      </c>
      <c r="F21" s="99">
        <v>149</v>
      </c>
      <c r="G21" s="99">
        <v>25</v>
      </c>
      <c r="H21" s="100">
        <v>1.63</v>
      </c>
      <c r="I21" s="99">
        <f t="shared" si="3"/>
        <v>1266</v>
      </c>
      <c r="J21" s="99">
        <v>252</v>
      </c>
      <c r="K21" s="101">
        <f t="shared" si="2"/>
        <v>16.600790513833992</v>
      </c>
    </row>
    <row r="22" spans="1:11" ht="12.6" customHeight="1" x14ac:dyDescent="0.2">
      <c r="A22" s="126" t="s">
        <v>22</v>
      </c>
      <c r="B22" s="99">
        <v>14446</v>
      </c>
      <c r="C22" s="99">
        <f t="shared" si="1"/>
        <v>2686</v>
      </c>
      <c r="D22" s="99">
        <v>1343</v>
      </c>
      <c r="E22" s="99">
        <v>1013</v>
      </c>
      <c r="F22" s="99">
        <v>266</v>
      </c>
      <c r="G22" s="99">
        <v>64</v>
      </c>
      <c r="H22" s="100">
        <v>1.65</v>
      </c>
      <c r="I22" s="99">
        <f t="shared" si="3"/>
        <v>2211</v>
      </c>
      <c r="J22" s="99">
        <v>475</v>
      </c>
      <c r="K22" s="101">
        <f t="shared" si="2"/>
        <v>17.68428890543559</v>
      </c>
    </row>
    <row r="23" spans="1:11" ht="12.6" customHeight="1" x14ac:dyDescent="0.2">
      <c r="A23" s="126" t="s">
        <v>23</v>
      </c>
      <c r="B23" s="99">
        <v>4654</v>
      </c>
      <c r="C23" s="99">
        <f t="shared" si="1"/>
        <v>959</v>
      </c>
      <c r="D23" s="99">
        <v>501</v>
      </c>
      <c r="E23" s="99">
        <v>339</v>
      </c>
      <c r="F23" s="99">
        <v>100</v>
      </c>
      <c r="G23" s="99">
        <v>19</v>
      </c>
      <c r="H23" s="100">
        <v>1.62</v>
      </c>
      <c r="I23" s="99">
        <f t="shared" si="3"/>
        <v>775</v>
      </c>
      <c r="J23" s="99">
        <v>184</v>
      </c>
      <c r="K23" s="101">
        <f t="shared" si="2"/>
        <v>19.186652763295097</v>
      </c>
    </row>
    <row r="24" spans="1:11" ht="12.6" customHeight="1" x14ac:dyDescent="0.2">
      <c r="A24" s="126" t="s">
        <v>24</v>
      </c>
      <c r="B24" s="99">
        <v>15193</v>
      </c>
      <c r="C24" s="99">
        <f t="shared" si="1"/>
        <v>2800</v>
      </c>
      <c r="D24" s="99">
        <v>1410</v>
      </c>
      <c r="E24" s="99">
        <v>1080</v>
      </c>
      <c r="F24" s="99">
        <v>256</v>
      </c>
      <c r="G24" s="99">
        <v>54</v>
      </c>
      <c r="H24" s="100">
        <v>1.63</v>
      </c>
      <c r="I24" s="99">
        <f t="shared" si="3"/>
        <v>2302</v>
      </c>
      <c r="J24" s="99">
        <v>498</v>
      </c>
      <c r="K24" s="101">
        <f t="shared" si="2"/>
        <v>17.785714285714285</v>
      </c>
    </row>
    <row r="25" spans="1:11" ht="12.6" customHeight="1" x14ac:dyDescent="0.2">
      <c r="A25" s="126" t="s">
        <v>25</v>
      </c>
      <c r="B25" s="99">
        <v>11965</v>
      </c>
      <c r="C25" s="99">
        <f t="shared" si="1"/>
        <v>2451</v>
      </c>
      <c r="D25" s="99">
        <v>1289</v>
      </c>
      <c r="E25" s="99">
        <v>873</v>
      </c>
      <c r="F25" s="99">
        <v>247</v>
      </c>
      <c r="G25" s="99">
        <v>42</v>
      </c>
      <c r="H25" s="100">
        <v>1.61</v>
      </c>
      <c r="I25" s="99">
        <f t="shared" si="3"/>
        <v>1936</v>
      </c>
      <c r="J25" s="99">
        <v>515</v>
      </c>
      <c r="K25" s="101">
        <f t="shared" si="2"/>
        <v>21.011831905344756</v>
      </c>
    </row>
    <row r="26" spans="1:11" ht="12.6" customHeight="1" x14ac:dyDescent="0.2">
      <c r="A26" s="126" t="s">
        <v>26</v>
      </c>
      <c r="B26" s="99">
        <v>3279</v>
      </c>
      <c r="C26" s="99">
        <f t="shared" si="1"/>
        <v>598</v>
      </c>
      <c r="D26" s="99">
        <v>324</v>
      </c>
      <c r="E26" s="99">
        <v>216</v>
      </c>
      <c r="F26" s="99">
        <v>48</v>
      </c>
      <c r="G26" s="99">
        <v>10</v>
      </c>
      <c r="H26" s="100">
        <v>1.58</v>
      </c>
      <c r="I26" s="99">
        <f t="shared" si="3"/>
        <v>470</v>
      </c>
      <c r="J26" s="99">
        <v>128</v>
      </c>
      <c r="K26" s="101">
        <f t="shared" si="2"/>
        <v>21.404682274247492</v>
      </c>
    </row>
    <row r="27" spans="1:11" ht="12.6" customHeight="1" x14ac:dyDescent="0.2">
      <c r="A27" s="126" t="s">
        <v>27</v>
      </c>
      <c r="B27" s="99">
        <v>4086</v>
      </c>
      <c r="C27" s="99">
        <f t="shared" si="1"/>
        <v>872</v>
      </c>
      <c r="D27" s="99">
        <v>439</v>
      </c>
      <c r="E27" s="99">
        <v>328</v>
      </c>
      <c r="F27" s="99">
        <v>91</v>
      </c>
      <c r="G27" s="99">
        <v>14</v>
      </c>
      <c r="H27" s="100">
        <v>1.63</v>
      </c>
      <c r="I27" s="99">
        <f t="shared" si="3"/>
        <v>694</v>
      </c>
      <c r="J27" s="99">
        <v>178</v>
      </c>
      <c r="K27" s="101">
        <f t="shared" si="2"/>
        <v>20.412844036697248</v>
      </c>
    </row>
    <row r="28" spans="1:11" ht="12.6" customHeight="1" x14ac:dyDescent="0.2">
      <c r="A28" s="126" t="s">
        <v>28</v>
      </c>
      <c r="B28" s="99">
        <v>6952</v>
      </c>
      <c r="C28" s="99">
        <f t="shared" si="1"/>
        <v>1120</v>
      </c>
      <c r="D28" s="99">
        <v>542</v>
      </c>
      <c r="E28" s="99">
        <v>463</v>
      </c>
      <c r="F28" s="99">
        <v>90</v>
      </c>
      <c r="G28" s="99">
        <v>25</v>
      </c>
      <c r="H28" s="100">
        <v>1.65</v>
      </c>
      <c r="I28" s="99">
        <f t="shared" si="3"/>
        <v>898</v>
      </c>
      <c r="J28" s="99">
        <v>222</v>
      </c>
      <c r="K28" s="101">
        <f t="shared" si="2"/>
        <v>19.821428571428569</v>
      </c>
    </row>
    <row r="29" spans="1:11" ht="12.6" customHeight="1" x14ac:dyDescent="0.2">
      <c r="A29" s="126" t="s">
        <v>29</v>
      </c>
      <c r="B29" s="99">
        <v>11781</v>
      </c>
      <c r="C29" s="99">
        <f t="shared" si="1"/>
        <v>2302</v>
      </c>
      <c r="D29" s="99">
        <v>1099</v>
      </c>
      <c r="E29" s="99">
        <v>915</v>
      </c>
      <c r="F29" s="99">
        <v>243</v>
      </c>
      <c r="G29" s="99">
        <v>45</v>
      </c>
      <c r="H29" s="100">
        <v>1.67</v>
      </c>
      <c r="I29" s="99">
        <f t="shared" si="3"/>
        <v>1861</v>
      </c>
      <c r="J29" s="99">
        <v>441</v>
      </c>
      <c r="K29" s="101">
        <f t="shared" si="2"/>
        <v>19.157254561251086</v>
      </c>
    </row>
    <row r="30" spans="1:11" ht="12.6" customHeight="1" x14ac:dyDescent="0.2">
      <c r="A30" s="126" t="s">
        <v>30</v>
      </c>
      <c r="B30" s="99">
        <v>5734</v>
      </c>
      <c r="C30" s="99">
        <f t="shared" si="1"/>
        <v>1198</v>
      </c>
      <c r="D30" s="99">
        <v>633</v>
      </c>
      <c r="E30" s="99">
        <v>432</v>
      </c>
      <c r="F30" s="99">
        <v>113</v>
      </c>
      <c r="G30" s="99">
        <v>20</v>
      </c>
      <c r="H30" s="100">
        <v>1.61</v>
      </c>
      <c r="I30" s="99">
        <f t="shared" si="3"/>
        <v>978</v>
      </c>
      <c r="J30" s="99">
        <v>220</v>
      </c>
      <c r="K30" s="101">
        <f t="shared" si="2"/>
        <v>18.363939899833053</v>
      </c>
    </row>
    <row r="31" spans="1:11" ht="12.6" customHeight="1" x14ac:dyDescent="0.2">
      <c r="A31" s="126" t="s">
        <v>31</v>
      </c>
      <c r="B31" s="99">
        <v>8246</v>
      </c>
      <c r="C31" s="99">
        <f t="shared" si="1"/>
        <v>1627</v>
      </c>
      <c r="D31" s="99">
        <v>846</v>
      </c>
      <c r="E31" s="99">
        <v>599</v>
      </c>
      <c r="F31" s="99">
        <v>145</v>
      </c>
      <c r="G31" s="99">
        <v>37</v>
      </c>
      <c r="H31" s="100">
        <v>1.62</v>
      </c>
      <c r="I31" s="99">
        <f t="shared" si="3"/>
        <v>1300</v>
      </c>
      <c r="J31" s="99">
        <v>327</v>
      </c>
      <c r="K31" s="101">
        <f t="shared" si="2"/>
        <v>20.098340503995082</v>
      </c>
    </row>
    <row r="32" spans="1:11" ht="12.6" customHeight="1" x14ac:dyDescent="0.2">
      <c r="A32" s="126" t="s">
        <v>32</v>
      </c>
      <c r="B32" s="99">
        <v>23487</v>
      </c>
      <c r="C32" s="99">
        <f t="shared" si="1"/>
        <v>4203</v>
      </c>
      <c r="D32" s="99">
        <v>2013</v>
      </c>
      <c r="E32" s="99">
        <v>1693</v>
      </c>
      <c r="F32" s="99">
        <v>396</v>
      </c>
      <c r="G32" s="99">
        <v>101</v>
      </c>
      <c r="H32" s="100">
        <v>1.67</v>
      </c>
      <c r="I32" s="99">
        <f t="shared" si="3"/>
        <v>3485</v>
      </c>
      <c r="J32" s="99">
        <v>718</v>
      </c>
      <c r="K32" s="101">
        <f t="shared" si="2"/>
        <v>17.08303592671901</v>
      </c>
    </row>
    <row r="33" spans="1:11" ht="12.6" customHeight="1" x14ac:dyDescent="0.2">
      <c r="A33" s="126" t="s">
        <v>33</v>
      </c>
      <c r="B33" s="99">
        <v>4502</v>
      </c>
      <c r="C33" s="99">
        <f t="shared" si="1"/>
        <v>807</v>
      </c>
      <c r="D33" s="99">
        <v>404</v>
      </c>
      <c r="E33" s="99">
        <v>296</v>
      </c>
      <c r="F33" s="99">
        <v>74</v>
      </c>
      <c r="G33" s="99">
        <v>33</v>
      </c>
      <c r="H33" s="100">
        <v>1.7</v>
      </c>
      <c r="I33" s="99">
        <f t="shared" si="3"/>
        <v>639</v>
      </c>
      <c r="J33" s="99">
        <v>168</v>
      </c>
      <c r="K33" s="101">
        <f t="shared" si="2"/>
        <v>20.817843866171003</v>
      </c>
    </row>
    <row r="34" spans="1:11" ht="12.6" customHeight="1" x14ac:dyDescent="0.2">
      <c r="A34" s="126" t="s">
        <v>34</v>
      </c>
      <c r="B34" s="99">
        <v>14520</v>
      </c>
      <c r="C34" s="99">
        <f t="shared" si="1"/>
        <v>3423</v>
      </c>
      <c r="D34" s="99">
        <v>1680</v>
      </c>
      <c r="E34" s="99">
        <v>1343</v>
      </c>
      <c r="F34" s="99">
        <v>325</v>
      </c>
      <c r="G34" s="99">
        <v>75</v>
      </c>
      <c r="H34" s="100">
        <v>1.65</v>
      </c>
      <c r="I34" s="99">
        <f t="shared" si="3"/>
        <v>2790</v>
      </c>
      <c r="J34" s="99">
        <v>633</v>
      </c>
      <c r="K34" s="101">
        <f t="shared" si="2"/>
        <v>18.492550394390886</v>
      </c>
    </row>
    <row r="35" spans="1:11" ht="12.6" customHeight="1" x14ac:dyDescent="0.2">
      <c r="A35" s="126" t="s">
        <v>35</v>
      </c>
      <c r="B35" s="99">
        <v>17772</v>
      </c>
      <c r="C35" s="99">
        <f t="shared" si="1"/>
        <v>3682</v>
      </c>
      <c r="D35" s="99">
        <v>1801</v>
      </c>
      <c r="E35" s="99">
        <v>1381</v>
      </c>
      <c r="F35" s="99">
        <v>410</v>
      </c>
      <c r="G35" s="99">
        <v>90</v>
      </c>
      <c r="H35" s="100">
        <v>1.68</v>
      </c>
      <c r="I35" s="99">
        <f t="shared" si="3"/>
        <v>2916</v>
      </c>
      <c r="J35" s="99">
        <v>766</v>
      </c>
      <c r="K35" s="101">
        <f t="shared" si="2"/>
        <v>20.803910917979358</v>
      </c>
    </row>
    <row r="36" spans="1:11" ht="3" customHeight="1" x14ac:dyDescent="0.2">
      <c r="A36" s="126"/>
      <c r="B36" s="99"/>
      <c r="C36" s="99"/>
      <c r="D36" s="99"/>
      <c r="E36" s="99"/>
      <c r="F36" s="99"/>
      <c r="G36" s="99"/>
      <c r="H36" s="100"/>
      <c r="I36" s="99"/>
      <c r="J36" s="99"/>
      <c r="K36" s="101"/>
    </row>
    <row r="37" spans="1:11" ht="12.6" customHeight="1" x14ac:dyDescent="0.2">
      <c r="A37" s="128" t="s">
        <v>36</v>
      </c>
      <c r="B37" s="99">
        <f t="shared" ref="B37:G37" si="4">SUM(B18:B35)</f>
        <v>199600</v>
      </c>
      <c r="C37" s="99">
        <f t="shared" si="4"/>
        <v>38813</v>
      </c>
      <c r="D37" s="99">
        <f t="shared" si="4"/>
        <v>19311</v>
      </c>
      <c r="E37" s="99">
        <f t="shared" si="4"/>
        <v>14773</v>
      </c>
      <c r="F37" s="99">
        <f t="shared" si="4"/>
        <v>3836</v>
      </c>
      <c r="G37" s="99">
        <f t="shared" si="4"/>
        <v>893</v>
      </c>
      <c r="H37" s="100">
        <v>1.65</v>
      </c>
      <c r="I37" s="99">
        <f>SUM(I18:I35)</f>
        <v>31351</v>
      </c>
      <c r="J37" s="99">
        <f>SUM(J18:J35)</f>
        <v>7462</v>
      </c>
      <c r="K37" s="101">
        <f>+J37/C37*100</f>
        <v>19.225517223610648</v>
      </c>
    </row>
    <row r="38" spans="1:11" ht="3" customHeight="1" x14ac:dyDescent="0.2">
      <c r="A38" s="129"/>
      <c r="B38" s="105"/>
      <c r="C38" s="99"/>
      <c r="D38" s="105"/>
      <c r="E38" s="105"/>
      <c r="F38" s="105"/>
      <c r="G38" s="105"/>
      <c r="H38" s="100"/>
      <c r="I38" s="105"/>
      <c r="J38" s="105"/>
      <c r="K38" s="107"/>
    </row>
    <row r="39" spans="1:11" ht="12.6" customHeight="1" x14ac:dyDescent="0.2">
      <c r="A39" s="128" t="s">
        <v>37</v>
      </c>
      <c r="B39" s="109">
        <f>B16+B37</f>
        <v>308944</v>
      </c>
      <c r="C39" s="110">
        <f>SUM(D39:G39)</f>
        <v>54229</v>
      </c>
      <c r="D39" s="109">
        <f>D16+D37</f>
        <v>27759</v>
      </c>
      <c r="E39" s="109">
        <f>E16+E37</f>
        <v>20178</v>
      </c>
      <c r="F39" s="109">
        <f>F16+F37</f>
        <v>5093</v>
      </c>
      <c r="G39" s="109">
        <f>G16+G37</f>
        <v>1199</v>
      </c>
      <c r="H39" s="136">
        <f>88521/C39</f>
        <v>1.6323553818067824</v>
      </c>
      <c r="I39" s="109">
        <f>I16+I37</f>
        <v>43272</v>
      </c>
      <c r="J39" s="109">
        <f>J16+J37</f>
        <v>10957</v>
      </c>
      <c r="K39" s="111">
        <f>+J39/C39*100</f>
        <v>20.205056335171218</v>
      </c>
    </row>
    <row r="40" spans="1:11" ht="12.6" customHeight="1" x14ac:dyDescent="0.2">
      <c r="A40" s="130" t="s">
        <v>76</v>
      </c>
      <c r="B40" s="113"/>
      <c r="C40" s="114"/>
      <c r="D40" s="114"/>
      <c r="E40" s="114"/>
      <c r="F40" s="114"/>
      <c r="G40" s="115"/>
      <c r="H40" s="114"/>
      <c r="I40" s="114"/>
      <c r="J40" s="114"/>
      <c r="K40" s="114"/>
    </row>
    <row r="41" spans="1:11" ht="12.6" customHeight="1" x14ac:dyDescent="0.2">
      <c r="A41" s="131" t="s">
        <v>95</v>
      </c>
      <c r="B41" s="122"/>
      <c r="C41" s="122"/>
      <c r="D41" s="122"/>
      <c r="E41" s="122"/>
      <c r="F41" s="122"/>
      <c r="G41" s="132"/>
      <c r="H41" s="122"/>
      <c r="I41" s="122"/>
      <c r="J41" s="122"/>
      <c r="K41" s="122"/>
    </row>
  </sheetData>
  <mergeCells count="8">
    <mergeCell ref="A6:A8"/>
    <mergeCell ref="B6:B8"/>
    <mergeCell ref="C6:K6"/>
    <mergeCell ref="C7:C8"/>
    <mergeCell ref="D7:G7"/>
    <mergeCell ref="H7:H8"/>
    <mergeCell ref="I7:I8"/>
    <mergeCell ref="J7:K7"/>
  </mergeCells>
  <pageMargins left="0.59055118110236227" right="0.59055118110236227" top="0.59055118110236227" bottom="0.59055118110236227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ignoredErrors>
    <ignoredError sqref="C10:C38" formulaRange="1"/>
    <ignoredError sqref="C39" formula="1" formulaRange="1"/>
    <ignoredError sqref="H39" formula="1"/>
  </ignoredError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8">
    <pageSetUpPr fitToPage="1"/>
  </sheetPr>
  <dimension ref="A1:K41"/>
  <sheetViews>
    <sheetView workbookViewId="0">
      <selection activeCell="H39" sqref="H39"/>
    </sheetView>
  </sheetViews>
  <sheetFormatPr baseColWidth="10" defaultColWidth="9.83203125" defaultRowHeight="12.75" customHeight="1" x14ac:dyDescent="0.2"/>
  <cols>
    <col min="1" max="1" width="21.1640625" style="117" customWidth="1"/>
    <col min="2" max="2" width="10.5" style="117" customWidth="1"/>
    <col min="3" max="3" width="9.6640625" style="117" customWidth="1"/>
    <col min="4" max="4" width="9.1640625" style="117" customWidth="1"/>
    <col min="5" max="7" width="9" style="117" customWidth="1"/>
    <col min="8" max="8" width="10.6640625" style="117" customWidth="1"/>
    <col min="9" max="10" width="9" style="117" customWidth="1"/>
    <col min="11" max="11" width="11.5" style="117" bestFit="1" customWidth="1"/>
    <col min="12" max="16384" width="9.83203125" style="117"/>
  </cols>
  <sheetData>
    <row r="1" spans="1:11" ht="12.75" customHeight="1" x14ac:dyDescent="0.2">
      <c r="A1" s="49" t="s">
        <v>77</v>
      </c>
      <c r="B1" s="49"/>
      <c r="C1" s="49"/>
      <c r="D1" s="49"/>
      <c r="E1" s="49"/>
      <c r="F1" s="49"/>
      <c r="G1" s="49"/>
      <c r="H1" s="87"/>
      <c r="I1" s="87"/>
      <c r="J1" s="87"/>
      <c r="K1" s="87"/>
    </row>
    <row r="3" spans="1:11" ht="12.6" customHeight="1" x14ac:dyDescent="0.2">
      <c r="A3" s="118" t="s">
        <v>89</v>
      </c>
      <c r="B3" s="119"/>
      <c r="C3" s="119"/>
      <c r="D3" s="119"/>
      <c r="E3" s="119"/>
      <c r="F3" s="119"/>
      <c r="G3" s="119"/>
      <c r="H3" s="119"/>
      <c r="I3" s="119"/>
      <c r="J3" s="119"/>
      <c r="K3" s="119"/>
    </row>
    <row r="4" spans="1:11" ht="12.6" customHeight="1" x14ac:dyDescent="0.2">
      <c r="A4" s="120" t="s">
        <v>78</v>
      </c>
      <c r="B4" s="119"/>
      <c r="C4" s="119"/>
      <c r="D4" s="119"/>
      <c r="E4" s="119"/>
      <c r="F4" s="119"/>
      <c r="G4" s="119"/>
      <c r="H4" s="119"/>
      <c r="I4" s="119"/>
      <c r="J4" s="119"/>
      <c r="K4" s="119"/>
    </row>
    <row r="5" spans="1:11" ht="12.6" customHeight="1" x14ac:dyDescent="0.2">
      <c r="A5" s="121"/>
      <c r="B5" s="122"/>
      <c r="C5" s="122"/>
      <c r="D5" s="122"/>
      <c r="E5" s="122"/>
      <c r="F5" s="122"/>
      <c r="G5" s="122"/>
      <c r="H5" s="122"/>
      <c r="I5" s="122"/>
      <c r="J5" s="122"/>
      <c r="K5" s="122"/>
    </row>
    <row r="6" spans="1:11" ht="12.6" customHeight="1" thickBot="1" x14ac:dyDescent="0.25">
      <c r="A6" s="154" t="s">
        <v>2</v>
      </c>
      <c r="B6" s="156" t="s">
        <v>92</v>
      </c>
      <c r="C6" s="158" t="s">
        <v>74</v>
      </c>
      <c r="D6" s="158"/>
      <c r="E6" s="158"/>
      <c r="F6" s="158"/>
      <c r="G6" s="158"/>
      <c r="H6" s="158"/>
      <c r="I6" s="158"/>
      <c r="J6" s="158"/>
      <c r="K6" s="159"/>
    </row>
    <row r="7" spans="1:11" ht="12.6" customHeight="1" thickBot="1" x14ac:dyDescent="0.25">
      <c r="A7" s="155"/>
      <c r="B7" s="157"/>
      <c r="C7" s="160" t="s">
        <v>3</v>
      </c>
      <c r="D7" s="160" t="s">
        <v>4</v>
      </c>
      <c r="E7" s="160"/>
      <c r="F7" s="160"/>
      <c r="G7" s="160"/>
      <c r="H7" s="157" t="s">
        <v>75</v>
      </c>
      <c r="I7" s="160" t="s">
        <v>6</v>
      </c>
      <c r="J7" s="161" t="s">
        <v>7</v>
      </c>
      <c r="K7" s="162"/>
    </row>
    <row r="8" spans="1:11" ht="12.6" customHeight="1" thickBot="1" x14ac:dyDescent="0.25">
      <c r="A8" s="155"/>
      <c r="B8" s="157"/>
      <c r="C8" s="160"/>
      <c r="D8" s="123">
        <v>1</v>
      </c>
      <c r="E8" s="123">
        <v>2</v>
      </c>
      <c r="F8" s="123">
        <v>3</v>
      </c>
      <c r="G8" s="123" t="s">
        <v>8</v>
      </c>
      <c r="H8" s="157"/>
      <c r="I8" s="160"/>
      <c r="J8" s="123" t="s">
        <v>10</v>
      </c>
      <c r="K8" s="124" t="s">
        <v>11</v>
      </c>
    </row>
    <row r="9" spans="1:11" ht="12.6" customHeight="1" x14ac:dyDescent="0.2">
      <c r="A9" s="125"/>
      <c r="B9" s="122"/>
      <c r="C9" s="122"/>
      <c r="D9" s="122"/>
      <c r="E9" s="122"/>
      <c r="F9" s="122"/>
      <c r="G9" s="122"/>
      <c r="H9" s="122"/>
      <c r="I9" s="122"/>
      <c r="J9" s="122"/>
      <c r="K9" s="122"/>
    </row>
    <row r="10" spans="1:11" ht="12.6" customHeight="1" x14ac:dyDescent="0.2">
      <c r="A10" s="126" t="s">
        <v>12</v>
      </c>
      <c r="B10" s="99">
        <v>13788</v>
      </c>
      <c r="C10" s="99">
        <f>SUM(D10:G10)</f>
        <v>1346</v>
      </c>
      <c r="D10" s="99">
        <v>783</v>
      </c>
      <c r="E10" s="99">
        <v>441</v>
      </c>
      <c r="F10" s="99">
        <v>89</v>
      </c>
      <c r="G10" s="99">
        <v>33</v>
      </c>
      <c r="H10" s="100">
        <v>1.5453194650817237</v>
      </c>
      <c r="I10" s="99">
        <v>1032</v>
      </c>
      <c r="J10" s="99">
        <v>314</v>
      </c>
      <c r="K10" s="101">
        <f>+J10/C10*100</f>
        <v>23.328380386329865</v>
      </c>
    </row>
    <row r="11" spans="1:11" ht="12.6" customHeight="1" x14ac:dyDescent="0.2">
      <c r="A11" s="126" t="s">
        <v>13</v>
      </c>
      <c r="B11" s="99">
        <v>13343</v>
      </c>
      <c r="C11" s="99">
        <f>SUM(D11:G11)</f>
        <v>2334</v>
      </c>
      <c r="D11" s="99">
        <v>1238</v>
      </c>
      <c r="E11" s="99">
        <v>815</v>
      </c>
      <c r="F11" s="99">
        <v>225</v>
      </c>
      <c r="G11" s="99">
        <v>56</v>
      </c>
      <c r="H11" s="100">
        <v>1.6216795201371037</v>
      </c>
      <c r="I11" s="99">
        <v>1775</v>
      </c>
      <c r="J11" s="99">
        <v>559</v>
      </c>
      <c r="K11" s="101">
        <f>+J11/C11*100</f>
        <v>23.950299914310197</v>
      </c>
    </row>
    <row r="12" spans="1:11" ht="12.6" customHeight="1" x14ac:dyDescent="0.2">
      <c r="A12" s="126" t="s">
        <v>14</v>
      </c>
      <c r="B12" s="99">
        <v>25759</v>
      </c>
      <c r="C12" s="99">
        <f>SUM(D12:G12)</f>
        <v>4194</v>
      </c>
      <c r="D12" s="99">
        <v>2274</v>
      </c>
      <c r="E12" s="99">
        <v>1445</v>
      </c>
      <c r="F12" s="99">
        <v>396</v>
      </c>
      <c r="G12" s="99">
        <v>79</v>
      </c>
      <c r="H12" s="100">
        <v>1.594420600858369</v>
      </c>
      <c r="I12" s="99">
        <v>3143</v>
      </c>
      <c r="J12" s="99">
        <v>1051</v>
      </c>
      <c r="K12" s="101">
        <f>+J12/C12*100</f>
        <v>25.059608965188364</v>
      </c>
    </row>
    <row r="13" spans="1:11" ht="12.6" customHeight="1" x14ac:dyDescent="0.2">
      <c r="A13" s="126" t="s">
        <v>15</v>
      </c>
      <c r="B13" s="99">
        <v>24835</v>
      </c>
      <c r="C13" s="99">
        <f>SUM(D13:G13)</f>
        <v>3576</v>
      </c>
      <c r="D13" s="99">
        <v>1968</v>
      </c>
      <c r="E13" s="99">
        <v>1249</v>
      </c>
      <c r="F13" s="99">
        <v>288</v>
      </c>
      <c r="G13" s="99">
        <v>71</v>
      </c>
      <c r="H13" s="100">
        <v>1.575503355704698</v>
      </c>
      <c r="I13" s="99">
        <v>2863</v>
      </c>
      <c r="J13" s="99">
        <v>713</v>
      </c>
      <c r="K13" s="101">
        <f>+J13/C13*100</f>
        <v>19.938478747203582</v>
      </c>
    </row>
    <row r="14" spans="1:11" ht="12.6" customHeight="1" x14ac:dyDescent="0.2">
      <c r="A14" s="126" t="s">
        <v>16</v>
      </c>
      <c r="B14" s="99">
        <v>30027</v>
      </c>
      <c r="C14" s="99">
        <f>SUM(D14:G14)</f>
        <v>3846</v>
      </c>
      <c r="D14" s="99">
        <v>2155</v>
      </c>
      <c r="E14" s="99">
        <v>1350</v>
      </c>
      <c r="F14" s="99">
        <v>276</v>
      </c>
      <c r="G14" s="99">
        <v>65</v>
      </c>
      <c r="H14" s="100">
        <v>1.5486219448777951</v>
      </c>
      <c r="I14" s="99">
        <v>3051</v>
      </c>
      <c r="J14" s="99">
        <v>795</v>
      </c>
      <c r="K14" s="101">
        <f>+J14/C14*100</f>
        <v>20.67082683307332</v>
      </c>
    </row>
    <row r="15" spans="1:11" ht="3" customHeight="1" x14ac:dyDescent="0.2">
      <c r="A15" s="126"/>
      <c r="B15" s="99"/>
      <c r="C15" s="99"/>
      <c r="D15" s="99"/>
      <c r="E15" s="99"/>
      <c r="F15" s="99"/>
      <c r="G15" s="99"/>
      <c r="H15" s="100"/>
      <c r="I15" s="99"/>
      <c r="J15" s="99"/>
      <c r="K15" s="101"/>
    </row>
    <row r="16" spans="1:11" ht="12.6" customHeight="1" x14ac:dyDescent="0.2">
      <c r="A16" s="128" t="s">
        <v>17</v>
      </c>
      <c r="B16" s="99">
        <f t="shared" ref="B16:G16" si="0">SUM(B10:B14)</f>
        <v>107752</v>
      </c>
      <c r="C16" s="99">
        <f t="shared" si="0"/>
        <v>15296</v>
      </c>
      <c r="D16" s="99">
        <f t="shared" si="0"/>
        <v>8418</v>
      </c>
      <c r="E16" s="99">
        <f t="shared" si="0"/>
        <v>5300</v>
      </c>
      <c r="F16" s="99">
        <f t="shared" si="0"/>
        <v>1274</v>
      </c>
      <c r="G16" s="99">
        <f t="shared" si="0"/>
        <v>304</v>
      </c>
      <c r="H16" s="100">
        <v>1.584309363344893</v>
      </c>
      <c r="I16" s="99">
        <f>SUM(I10:I14)</f>
        <v>11864</v>
      </c>
      <c r="J16" s="99">
        <f>SUM(J10:J14)</f>
        <v>3432</v>
      </c>
      <c r="K16" s="101">
        <f>+J16/C16*100</f>
        <v>22.43723849372385</v>
      </c>
    </row>
    <row r="17" spans="1:11" ht="3" customHeight="1" x14ac:dyDescent="0.2">
      <c r="A17" s="129"/>
      <c r="B17" s="105"/>
      <c r="C17" s="105"/>
      <c r="D17" s="105"/>
      <c r="E17" s="105"/>
      <c r="F17" s="105"/>
      <c r="G17" s="105"/>
      <c r="H17" s="106"/>
      <c r="I17" s="105"/>
      <c r="J17" s="105"/>
      <c r="K17" s="107"/>
    </row>
    <row r="18" spans="1:11" ht="12.6" customHeight="1" x14ac:dyDescent="0.2">
      <c r="A18" s="126" t="s">
        <v>18</v>
      </c>
      <c r="B18" s="99">
        <v>33957</v>
      </c>
      <c r="C18" s="99">
        <f t="shared" ref="C18:C35" si="1">SUM(D18:G18)</f>
        <v>6807</v>
      </c>
      <c r="D18" s="99">
        <v>3457</v>
      </c>
      <c r="E18" s="99">
        <v>2434</v>
      </c>
      <c r="F18" s="99">
        <v>734</v>
      </c>
      <c r="G18" s="99">
        <v>182</v>
      </c>
      <c r="H18" s="100">
        <v>1.6606434552666374</v>
      </c>
      <c r="I18" s="99">
        <v>5439</v>
      </c>
      <c r="J18" s="99">
        <v>1368</v>
      </c>
      <c r="K18" s="101">
        <f t="shared" ref="K18:K35" si="2">+J18/C18*100</f>
        <v>20.09695901278096</v>
      </c>
    </row>
    <row r="19" spans="1:11" ht="12.6" customHeight="1" x14ac:dyDescent="0.2">
      <c r="A19" s="126" t="s">
        <v>19</v>
      </c>
      <c r="B19" s="99">
        <v>3237</v>
      </c>
      <c r="C19" s="99">
        <f t="shared" si="1"/>
        <v>571</v>
      </c>
      <c r="D19" s="99">
        <v>268</v>
      </c>
      <c r="E19" s="99">
        <v>232</v>
      </c>
      <c r="F19" s="99">
        <v>57</v>
      </c>
      <c r="G19" s="99">
        <v>14</v>
      </c>
      <c r="H19" s="100">
        <v>1.679509632224168</v>
      </c>
      <c r="I19" s="99">
        <v>464</v>
      </c>
      <c r="J19" s="99">
        <v>107</v>
      </c>
      <c r="K19" s="101">
        <f t="shared" si="2"/>
        <v>18.739054290718038</v>
      </c>
    </row>
    <row r="20" spans="1:11" ht="12.6" customHeight="1" x14ac:dyDescent="0.2">
      <c r="A20" s="126" t="s">
        <v>20</v>
      </c>
      <c r="B20" s="99">
        <v>6481</v>
      </c>
      <c r="C20" s="99">
        <f t="shared" si="1"/>
        <v>1214</v>
      </c>
      <c r="D20" s="99">
        <v>579</v>
      </c>
      <c r="E20" s="99">
        <v>492</v>
      </c>
      <c r="F20" s="99">
        <v>105</v>
      </c>
      <c r="G20" s="99">
        <v>38</v>
      </c>
      <c r="H20" s="100">
        <v>1.6803953871499175</v>
      </c>
      <c r="I20" s="99">
        <v>986</v>
      </c>
      <c r="J20" s="99">
        <v>228</v>
      </c>
      <c r="K20" s="101">
        <f t="shared" si="2"/>
        <v>18.780889621087315</v>
      </c>
    </row>
    <row r="21" spans="1:11" ht="12.6" customHeight="1" x14ac:dyDescent="0.2">
      <c r="A21" s="126" t="s">
        <v>21</v>
      </c>
      <c r="B21" s="99">
        <v>8345</v>
      </c>
      <c r="C21" s="99">
        <f t="shared" si="1"/>
        <v>1525</v>
      </c>
      <c r="D21" s="99">
        <v>755</v>
      </c>
      <c r="E21" s="99">
        <v>600</v>
      </c>
      <c r="F21" s="99">
        <v>144</v>
      </c>
      <c r="G21" s="99">
        <v>26</v>
      </c>
      <c r="H21" s="100">
        <v>1.6373770491803279</v>
      </c>
      <c r="I21" s="99">
        <v>1256</v>
      </c>
      <c r="J21" s="99">
        <v>269</v>
      </c>
      <c r="K21" s="101">
        <f t="shared" si="2"/>
        <v>17.639344262295083</v>
      </c>
    </row>
    <row r="22" spans="1:11" ht="12.6" customHeight="1" x14ac:dyDescent="0.2">
      <c r="A22" s="126" t="s">
        <v>22</v>
      </c>
      <c r="B22" s="99">
        <v>14065</v>
      </c>
      <c r="C22" s="99">
        <f t="shared" si="1"/>
        <v>2676</v>
      </c>
      <c r="D22" s="99">
        <v>1293</v>
      </c>
      <c r="E22" s="99">
        <v>1061</v>
      </c>
      <c r="F22" s="99">
        <v>254</v>
      </c>
      <c r="G22" s="99">
        <v>68</v>
      </c>
      <c r="H22" s="100">
        <v>1.6685351270553064</v>
      </c>
      <c r="I22" s="99">
        <v>2199</v>
      </c>
      <c r="J22" s="99">
        <v>477</v>
      </c>
      <c r="K22" s="101">
        <f t="shared" si="2"/>
        <v>17.825112107623315</v>
      </c>
    </row>
    <row r="23" spans="1:11" ht="12.6" customHeight="1" x14ac:dyDescent="0.2">
      <c r="A23" s="126" t="s">
        <v>23</v>
      </c>
      <c r="B23" s="99">
        <v>4547</v>
      </c>
      <c r="C23" s="99">
        <f t="shared" si="1"/>
        <v>915</v>
      </c>
      <c r="D23" s="99">
        <v>472</v>
      </c>
      <c r="E23" s="99">
        <v>326</v>
      </c>
      <c r="F23" s="99">
        <v>96</v>
      </c>
      <c r="G23" s="99">
        <v>21</v>
      </c>
      <c r="H23" s="100">
        <v>1.6382513661202185</v>
      </c>
      <c r="I23" s="99">
        <v>737</v>
      </c>
      <c r="J23" s="99">
        <v>178</v>
      </c>
      <c r="K23" s="101">
        <f t="shared" si="2"/>
        <v>19.453551912568308</v>
      </c>
    </row>
    <row r="24" spans="1:11" ht="12.6" customHeight="1" x14ac:dyDescent="0.2">
      <c r="A24" s="126" t="s">
        <v>24</v>
      </c>
      <c r="B24" s="99">
        <v>14989</v>
      </c>
      <c r="C24" s="99">
        <f t="shared" si="1"/>
        <v>2811</v>
      </c>
      <c r="D24" s="99">
        <v>1386</v>
      </c>
      <c r="E24" s="99">
        <v>1124</v>
      </c>
      <c r="F24" s="99">
        <v>248</v>
      </c>
      <c r="G24" s="99">
        <v>53</v>
      </c>
      <c r="H24" s="100">
        <v>1.6385627890430452</v>
      </c>
      <c r="I24" s="99">
        <v>2311</v>
      </c>
      <c r="J24" s="99">
        <v>500</v>
      </c>
      <c r="K24" s="101">
        <f t="shared" si="2"/>
        <v>17.787264318747773</v>
      </c>
    </row>
    <row r="25" spans="1:11" ht="12.6" customHeight="1" x14ac:dyDescent="0.2">
      <c r="A25" s="126" t="s">
        <v>25</v>
      </c>
      <c r="B25" s="99">
        <v>11824</v>
      </c>
      <c r="C25" s="99">
        <f t="shared" si="1"/>
        <v>2434</v>
      </c>
      <c r="D25" s="99">
        <v>1245</v>
      </c>
      <c r="E25" s="99">
        <v>910</v>
      </c>
      <c r="F25" s="99">
        <v>238</v>
      </c>
      <c r="G25" s="99">
        <v>41</v>
      </c>
      <c r="H25" s="100">
        <v>1.6216105176663929</v>
      </c>
      <c r="I25" s="99">
        <v>1936</v>
      </c>
      <c r="J25" s="99">
        <v>498</v>
      </c>
      <c r="K25" s="101">
        <f t="shared" si="2"/>
        <v>20.460147904683648</v>
      </c>
    </row>
    <row r="26" spans="1:11" ht="12.6" customHeight="1" x14ac:dyDescent="0.2">
      <c r="A26" s="126" t="s">
        <v>26</v>
      </c>
      <c r="B26" s="99">
        <v>3246</v>
      </c>
      <c r="C26" s="99">
        <f t="shared" si="1"/>
        <v>585</v>
      </c>
      <c r="D26" s="99">
        <v>317</v>
      </c>
      <c r="E26" s="99">
        <v>215</v>
      </c>
      <c r="F26" s="99">
        <v>43</v>
      </c>
      <c r="G26" s="99">
        <v>10</v>
      </c>
      <c r="H26" s="100">
        <v>1.5675213675213675</v>
      </c>
      <c r="I26" s="99">
        <v>454</v>
      </c>
      <c r="J26" s="99">
        <v>131</v>
      </c>
      <c r="K26" s="101">
        <f t="shared" si="2"/>
        <v>22.393162393162395</v>
      </c>
    </row>
    <row r="27" spans="1:11" ht="12.6" customHeight="1" x14ac:dyDescent="0.2">
      <c r="A27" s="126" t="s">
        <v>27</v>
      </c>
      <c r="B27" s="99">
        <v>3934</v>
      </c>
      <c r="C27" s="99">
        <f t="shared" si="1"/>
        <v>871</v>
      </c>
      <c r="D27" s="99">
        <v>436</v>
      </c>
      <c r="E27" s="99">
        <v>327</v>
      </c>
      <c r="F27" s="99">
        <v>95</v>
      </c>
      <c r="G27" s="99">
        <v>13</v>
      </c>
      <c r="H27" s="100">
        <v>1.6383467278989667</v>
      </c>
      <c r="I27" s="99">
        <v>690</v>
      </c>
      <c r="J27" s="99">
        <v>181</v>
      </c>
      <c r="K27" s="101">
        <f t="shared" si="2"/>
        <v>20.780711825487945</v>
      </c>
    </row>
    <row r="28" spans="1:11" ht="12.6" customHeight="1" x14ac:dyDescent="0.2">
      <c r="A28" s="126" t="s">
        <v>28</v>
      </c>
      <c r="B28" s="99">
        <v>6732</v>
      </c>
      <c r="C28" s="99">
        <f t="shared" si="1"/>
        <v>1138</v>
      </c>
      <c r="D28" s="99">
        <v>554</v>
      </c>
      <c r="E28" s="99">
        <v>473</v>
      </c>
      <c r="F28" s="99">
        <v>84</v>
      </c>
      <c r="G28" s="99">
        <v>27</v>
      </c>
      <c r="H28" s="100">
        <v>1.6379613356766256</v>
      </c>
      <c r="I28" s="99">
        <v>919</v>
      </c>
      <c r="J28" s="99">
        <v>219</v>
      </c>
      <c r="K28" s="101">
        <f t="shared" si="2"/>
        <v>19.244288224956062</v>
      </c>
    </row>
    <row r="29" spans="1:11" ht="12.6" customHeight="1" x14ac:dyDescent="0.2">
      <c r="A29" s="126" t="s">
        <v>29</v>
      </c>
      <c r="B29" s="99">
        <v>11292</v>
      </c>
      <c r="C29" s="99">
        <f t="shared" si="1"/>
        <v>2317</v>
      </c>
      <c r="D29" s="99">
        <v>1102</v>
      </c>
      <c r="E29" s="99">
        <v>939</v>
      </c>
      <c r="F29" s="99">
        <v>228</v>
      </c>
      <c r="G29" s="99">
        <v>48</v>
      </c>
      <c r="H29" s="100">
        <v>1.671126456624946</v>
      </c>
      <c r="I29" s="99">
        <v>1867</v>
      </c>
      <c r="J29" s="99">
        <v>450</v>
      </c>
      <c r="K29" s="101">
        <f t="shared" si="2"/>
        <v>19.421665947345705</v>
      </c>
    </row>
    <row r="30" spans="1:11" ht="12.6" customHeight="1" x14ac:dyDescent="0.2">
      <c r="A30" s="126" t="s">
        <v>30</v>
      </c>
      <c r="B30" s="99">
        <v>5571</v>
      </c>
      <c r="C30" s="99">
        <f t="shared" si="1"/>
        <v>1216</v>
      </c>
      <c r="D30" s="99">
        <v>652</v>
      </c>
      <c r="E30" s="99">
        <v>422</v>
      </c>
      <c r="F30" s="99">
        <v>121</v>
      </c>
      <c r="G30" s="99">
        <v>21</v>
      </c>
      <c r="H30" s="100">
        <v>1.6077302631578947</v>
      </c>
      <c r="I30" s="99">
        <v>995</v>
      </c>
      <c r="J30" s="99">
        <v>221</v>
      </c>
      <c r="K30" s="101">
        <f t="shared" si="2"/>
        <v>18.174342105263158</v>
      </c>
    </row>
    <row r="31" spans="1:11" ht="12.6" customHeight="1" x14ac:dyDescent="0.2">
      <c r="A31" s="126" t="s">
        <v>31</v>
      </c>
      <c r="B31" s="99">
        <v>8044</v>
      </c>
      <c r="C31" s="99">
        <f t="shared" si="1"/>
        <v>1629</v>
      </c>
      <c r="D31" s="99">
        <v>837</v>
      </c>
      <c r="E31" s="99">
        <v>612</v>
      </c>
      <c r="F31" s="99">
        <v>140</v>
      </c>
      <c r="G31" s="99">
        <v>40</v>
      </c>
      <c r="H31" s="100">
        <v>1.6292203806015961</v>
      </c>
      <c r="I31" s="99">
        <v>1292</v>
      </c>
      <c r="J31" s="99">
        <v>337</v>
      </c>
      <c r="K31" s="101">
        <f t="shared" si="2"/>
        <v>20.687538367096376</v>
      </c>
    </row>
    <row r="32" spans="1:11" ht="12.6" customHeight="1" x14ac:dyDescent="0.2">
      <c r="A32" s="126" t="s">
        <v>32</v>
      </c>
      <c r="B32" s="99">
        <v>23086</v>
      </c>
      <c r="C32" s="99">
        <f t="shared" si="1"/>
        <v>4195</v>
      </c>
      <c r="D32" s="99">
        <v>2028</v>
      </c>
      <c r="E32" s="99">
        <v>1666</v>
      </c>
      <c r="F32" s="99">
        <v>407</v>
      </c>
      <c r="G32" s="99">
        <v>94</v>
      </c>
      <c r="H32" s="100">
        <v>1.6636471990464838</v>
      </c>
      <c r="I32" s="99">
        <v>3459</v>
      </c>
      <c r="J32" s="99">
        <v>736</v>
      </c>
      <c r="K32" s="101">
        <f t="shared" si="2"/>
        <v>17.544696066746127</v>
      </c>
    </row>
    <row r="33" spans="1:11" ht="12.6" customHeight="1" x14ac:dyDescent="0.2">
      <c r="A33" s="126" t="s">
        <v>33</v>
      </c>
      <c r="B33" s="99">
        <v>4379</v>
      </c>
      <c r="C33" s="99">
        <f t="shared" si="1"/>
        <v>822</v>
      </c>
      <c r="D33" s="99">
        <v>421</v>
      </c>
      <c r="E33" s="99">
        <v>293</v>
      </c>
      <c r="F33" s="99">
        <v>78</v>
      </c>
      <c r="G33" s="99">
        <v>30</v>
      </c>
      <c r="H33" s="100">
        <v>1.6788321167883211</v>
      </c>
      <c r="I33" s="99">
        <v>655</v>
      </c>
      <c r="J33" s="99">
        <v>167</v>
      </c>
      <c r="K33" s="101">
        <f t="shared" si="2"/>
        <v>20.316301703163017</v>
      </c>
    </row>
    <row r="34" spans="1:11" ht="12.6" customHeight="1" x14ac:dyDescent="0.2">
      <c r="A34" s="126" t="s">
        <v>34</v>
      </c>
      <c r="B34" s="99">
        <v>14266</v>
      </c>
      <c r="C34" s="99">
        <f t="shared" si="1"/>
        <v>3423</v>
      </c>
      <c r="D34" s="99">
        <v>1670</v>
      </c>
      <c r="E34" s="99">
        <v>1342</v>
      </c>
      <c r="F34" s="99">
        <v>339</v>
      </c>
      <c r="G34" s="99">
        <v>72</v>
      </c>
      <c r="H34" s="100">
        <v>1.6587788489628981</v>
      </c>
      <c r="I34" s="99">
        <v>2781</v>
      </c>
      <c r="J34" s="99">
        <v>642</v>
      </c>
      <c r="K34" s="101">
        <f t="shared" si="2"/>
        <v>18.75547765118317</v>
      </c>
    </row>
    <row r="35" spans="1:11" ht="12.6" customHeight="1" x14ac:dyDescent="0.2">
      <c r="A35" s="126" t="s">
        <v>35</v>
      </c>
      <c r="B35" s="99">
        <v>17463</v>
      </c>
      <c r="C35" s="99">
        <f t="shared" si="1"/>
        <v>3661</v>
      </c>
      <c r="D35" s="99">
        <v>1803</v>
      </c>
      <c r="E35" s="99">
        <v>1353</v>
      </c>
      <c r="F35" s="99">
        <v>419</v>
      </c>
      <c r="G35" s="99">
        <v>86</v>
      </c>
      <c r="H35" s="100">
        <v>1.6757716470909587</v>
      </c>
      <c r="I35" s="99">
        <v>2901</v>
      </c>
      <c r="J35" s="99">
        <v>760</v>
      </c>
      <c r="K35" s="101">
        <f t="shared" si="2"/>
        <v>20.759355367385961</v>
      </c>
    </row>
    <row r="36" spans="1:11" ht="3" customHeight="1" x14ac:dyDescent="0.2">
      <c r="A36" s="126"/>
      <c r="B36" s="99"/>
      <c r="C36" s="99"/>
      <c r="D36" s="99"/>
      <c r="E36" s="99"/>
      <c r="F36" s="99"/>
      <c r="G36" s="99"/>
      <c r="H36" s="100"/>
      <c r="I36" s="99"/>
      <c r="J36" s="99"/>
      <c r="K36" s="101"/>
    </row>
    <row r="37" spans="1:11" ht="12.6" customHeight="1" x14ac:dyDescent="0.2">
      <c r="A37" s="128" t="s">
        <v>36</v>
      </c>
      <c r="B37" s="99">
        <f t="shared" ref="B37:G37" si="3">SUM(B18:B35)</f>
        <v>195458</v>
      </c>
      <c r="C37" s="99">
        <f t="shared" si="3"/>
        <v>38810</v>
      </c>
      <c r="D37" s="99">
        <f t="shared" si="3"/>
        <v>19275</v>
      </c>
      <c r="E37" s="99">
        <f t="shared" si="3"/>
        <v>14821</v>
      </c>
      <c r="F37" s="99">
        <f t="shared" si="3"/>
        <v>3830</v>
      </c>
      <c r="G37" s="99">
        <f t="shared" si="3"/>
        <v>884</v>
      </c>
      <c r="H37" s="100">
        <v>1.6536459675341406</v>
      </c>
      <c r="I37" s="99">
        <f>SUM(I18:I35)</f>
        <v>31341</v>
      </c>
      <c r="J37" s="99">
        <f>SUM(J18:J35)</f>
        <v>7469</v>
      </c>
      <c r="K37" s="101">
        <f>+J37/C37*100</f>
        <v>19.245039938160268</v>
      </c>
    </row>
    <row r="38" spans="1:11" ht="3" customHeight="1" x14ac:dyDescent="0.2">
      <c r="A38" s="129"/>
      <c r="B38" s="105"/>
      <c r="C38" s="99"/>
      <c r="D38" s="105"/>
      <c r="E38" s="105"/>
      <c r="F38" s="105"/>
      <c r="G38" s="105"/>
      <c r="H38" s="100"/>
      <c r="I38" s="105"/>
      <c r="J38" s="105"/>
      <c r="K38" s="107"/>
    </row>
    <row r="39" spans="1:11" ht="12.6" customHeight="1" x14ac:dyDescent="0.2">
      <c r="A39" s="128" t="s">
        <v>37</v>
      </c>
      <c r="B39" s="109">
        <f>B16+B37</f>
        <v>303210</v>
      </c>
      <c r="C39" s="110">
        <f>SUM(D39:G39)</f>
        <v>54106</v>
      </c>
      <c r="D39" s="109">
        <f>D16+D37</f>
        <v>27693</v>
      </c>
      <c r="E39" s="109">
        <f>E16+E37</f>
        <v>20121</v>
      </c>
      <c r="F39" s="109">
        <f>F16+F37</f>
        <v>5104</v>
      </c>
      <c r="G39" s="109">
        <f>G16+G37</f>
        <v>1188</v>
      </c>
      <c r="H39" s="133">
        <v>1.6323513103907146</v>
      </c>
      <c r="I39" s="109">
        <f>I16+I37</f>
        <v>43205</v>
      </c>
      <c r="J39" s="109">
        <f>J16+J37</f>
        <v>10901</v>
      </c>
      <c r="K39" s="111">
        <f>+J39/C39*100</f>
        <v>20.147488263778509</v>
      </c>
    </row>
    <row r="40" spans="1:11" ht="12.6" customHeight="1" x14ac:dyDescent="0.2">
      <c r="A40" s="130" t="s">
        <v>76</v>
      </c>
      <c r="B40" s="113"/>
      <c r="C40" s="114"/>
      <c r="D40" s="114"/>
      <c r="E40" s="114"/>
      <c r="F40" s="114"/>
      <c r="G40" s="115"/>
      <c r="H40" s="114"/>
      <c r="I40" s="114"/>
      <c r="J40" s="114"/>
      <c r="K40" s="114"/>
    </row>
    <row r="41" spans="1:11" ht="12.6" customHeight="1" x14ac:dyDescent="0.2">
      <c r="A41" s="131" t="s">
        <v>93</v>
      </c>
      <c r="B41" s="122"/>
      <c r="C41" s="122"/>
      <c r="D41" s="122"/>
      <c r="E41" s="122"/>
      <c r="F41" s="122"/>
      <c r="G41" s="132"/>
      <c r="H41" s="122"/>
      <c r="I41" s="122"/>
      <c r="J41" s="122"/>
      <c r="K41" s="122"/>
    </row>
  </sheetData>
  <mergeCells count="8">
    <mergeCell ref="A6:A8"/>
    <mergeCell ref="B6:B8"/>
    <mergeCell ref="C6:K6"/>
    <mergeCell ref="C7:C8"/>
    <mergeCell ref="D7:G7"/>
    <mergeCell ref="H7:H8"/>
    <mergeCell ref="I7:I8"/>
    <mergeCell ref="J7:K7"/>
  </mergeCells>
  <phoneticPr fontId="0" type="noConversion"/>
  <pageMargins left="0.59055118110236227" right="0.59055118110236227" top="0.59055118110236227" bottom="0.59055118110236227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9">
    <pageSetUpPr fitToPage="1"/>
  </sheetPr>
  <dimension ref="A1:K41"/>
  <sheetViews>
    <sheetView workbookViewId="0">
      <selection activeCell="H39" sqref="H39"/>
    </sheetView>
  </sheetViews>
  <sheetFormatPr baseColWidth="10" defaultColWidth="9.83203125" defaultRowHeight="12.75" customHeight="1" x14ac:dyDescent="0.2"/>
  <cols>
    <col min="1" max="1" width="21.1640625" style="117" customWidth="1"/>
    <col min="2" max="2" width="10.5" style="117" customWidth="1"/>
    <col min="3" max="3" width="9.6640625" style="117" customWidth="1"/>
    <col min="4" max="4" width="9.1640625" style="117" customWidth="1"/>
    <col min="5" max="7" width="9" style="117" customWidth="1"/>
    <col min="8" max="8" width="10.6640625" style="117" customWidth="1"/>
    <col min="9" max="10" width="9" style="117" customWidth="1"/>
    <col min="11" max="11" width="11.5" style="117" bestFit="1" customWidth="1"/>
    <col min="12" max="16384" width="9.83203125" style="117"/>
  </cols>
  <sheetData>
    <row r="1" spans="1:11" ht="12.75" customHeight="1" x14ac:dyDescent="0.2">
      <c r="A1" s="49" t="s">
        <v>77</v>
      </c>
      <c r="B1" s="49"/>
      <c r="C1" s="49"/>
      <c r="D1" s="49"/>
      <c r="E1" s="49"/>
      <c r="F1" s="49"/>
      <c r="G1" s="49"/>
      <c r="H1" s="87"/>
      <c r="I1" s="87"/>
      <c r="J1" s="87"/>
      <c r="K1" s="87"/>
    </row>
    <row r="3" spans="1:11" ht="12.6" customHeight="1" x14ac:dyDescent="0.2">
      <c r="A3" s="118" t="s">
        <v>88</v>
      </c>
      <c r="B3" s="119"/>
      <c r="C3" s="119"/>
      <c r="D3" s="119"/>
      <c r="E3" s="119"/>
      <c r="F3" s="119"/>
      <c r="G3" s="119"/>
      <c r="H3" s="119"/>
      <c r="I3" s="119"/>
      <c r="J3" s="119"/>
      <c r="K3" s="119"/>
    </row>
    <row r="4" spans="1:11" ht="12.6" customHeight="1" x14ac:dyDescent="0.2">
      <c r="A4" s="120" t="s">
        <v>78</v>
      </c>
      <c r="B4" s="119"/>
      <c r="C4" s="119"/>
      <c r="D4" s="119"/>
      <c r="E4" s="119"/>
      <c r="F4" s="119"/>
      <c r="G4" s="119"/>
      <c r="H4" s="119"/>
      <c r="I4" s="119"/>
      <c r="J4" s="119"/>
      <c r="K4" s="119"/>
    </row>
    <row r="5" spans="1:11" ht="12.6" customHeight="1" x14ac:dyDescent="0.2">
      <c r="A5" s="121"/>
      <c r="B5" s="122"/>
      <c r="C5" s="122"/>
      <c r="D5" s="122"/>
      <c r="E5" s="122"/>
      <c r="F5" s="122"/>
      <c r="G5" s="122"/>
      <c r="H5" s="122"/>
      <c r="I5" s="122"/>
      <c r="J5" s="122"/>
      <c r="K5" s="122"/>
    </row>
    <row r="6" spans="1:11" ht="12.6" customHeight="1" thickBot="1" x14ac:dyDescent="0.25">
      <c r="A6" s="154" t="s">
        <v>2</v>
      </c>
      <c r="B6" s="156" t="s">
        <v>92</v>
      </c>
      <c r="C6" s="158" t="s">
        <v>74</v>
      </c>
      <c r="D6" s="158"/>
      <c r="E6" s="158"/>
      <c r="F6" s="158"/>
      <c r="G6" s="158"/>
      <c r="H6" s="158"/>
      <c r="I6" s="158"/>
      <c r="J6" s="158"/>
      <c r="K6" s="159"/>
    </row>
    <row r="7" spans="1:11" ht="12.6" customHeight="1" thickBot="1" x14ac:dyDescent="0.25">
      <c r="A7" s="155"/>
      <c r="B7" s="157"/>
      <c r="C7" s="160" t="s">
        <v>3</v>
      </c>
      <c r="D7" s="160" t="s">
        <v>4</v>
      </c>
      <c r="E7" s="160"/>
      <c r="F7" s="160"/>
      <c r="G7" s="160"/>
      <c r="H7" s="157" t="s">
        <v>75</v>
      </c>
      <c r="I7" s="160" t="s">
        <v>6</v>
      </c>
      <c r="J7" s="161" t="s">
        <v>7</v>
      </c>
      <c r="K7" s="162"/>
    </row>
    <row r="8" spans="1:11" ht="12.6" customHeight="1" thickBot="1" x14ac:dyDescent="0.25">
      <c r="A8" s="155"/>
      <c r="B8" s="157"/>
      <c r="C8" s="160"/>
      <c r="D8" s="123">
        <v>1</v>
      </c>
      <c r="E8" s="123">
        <v>2</v>
      </c>
      <c r="F8" s="123">
        <v>3</v>
      </c>
      <c r="G8" s="123" t="s">
        <v>8</v>
      </c>
      <c r="H8" s="157"/>
      <c r="I8" s="160"/>
      <c r="J8" s="123" t="s">
        <v>10</v>
      </c>
      <c r="K8" s="124" t="s">
        <v>11</v>
      </c>
    </row>
    <row r="9" spans="1:11" ht="12.6" customHeight="1" x14ac:dyDescent="0.2">
      <c r="A9" s="125"/>
      <c r="B9" s="122"/>
      <c r="C9" s="122"/>
      <c r="D9" s="122"/>
      <c r="E9" s="122"/>
      <c r="F9" s="122"/>
      <c r="G9" s="122"/>
      <c r="H9" s="122"/>
      <c r="I9" s="122"/>
      <c r="J9" s="122"/>
      <c r="K9" s="122"/>
    </row>
    <row r="10" spans="1:11" ht="12.6" customHeight="1" x14ac:dyDescent="0.2">
      <c r="A10" s="126" t="s">
        <v>12</v>
      </c>
      <c r="B10" s="99">
        <v>13553</v>
      </c>
      <c r="C10" s="99">
        <f>SUM(D10:G10)</f>
        <v>1355</v>
      </c>
      <c r="D10" s="99">
        <v>760</v>
      </c>
      <c r="E10" s="99">
        <v>460</v>
      </c>
      <c r="F10" s="99">
        <v>100</v>
      </c>
      <c r="G10" s="99">
        <v>35</v>
      </c>
      <c r="H10" s="100">
        <v>1.5763837638376383</v>
      </c>
      <c r="I10" s="99">
        <v>1041</v>
      </c>
      <c r="J10" s="99">
        <v>314</v>
      </c>
      <c r="K10" s="101">
        <f>+J10/C10*100</f>
        <v>23.173431734317344</v>
      </c>
    </row>
    <row r="11" spans="1:11" ht="12.6" customHeight="1" x14ac:dyDescent="0.2">
      <c r="A11" s="126" t="s">
        <v>13</v>
      </c>
      <c r="B11" s="99">
        <v>13180</v>
      </c>
      <c r="C11" s="99">
        <f>SUM(D11:G11)</f>
        <v>2349</v>
      </c>
      <c r="D11" s="99">
        <v>1252</v>
      </c>
      <c r="E11" s="99">
        <v>804</v>
      </c>
      <c r="F11" s="99">
        <v>235</v>
      </c>
      <c r="G11" s="99">
        <v>58</v>
      </c>
      <c r="H11" s="100">
        <v>1.624946785866326</v>
      </c>
      <c r="I11" s="99">
        <v>1810</v>
      </c>
      <c r="J11" s="99">
        <v>539</v>
      </c>
      <c r="K11" s="101">
        <f>+J11/C11*100</f>
        <v>22.945934440187312</v>
      </c>
    </row>
    <row r="12" spans="1:11" ht="12.6" customHeight="1" x14ac:dyDescent="0.2">
      <c r="A12" s="126" t="s">
        <v>14</v>
      </c>
      <c r="B12" s="99">
        <v>25459</v>
      </c>
      <c r="C12" s="99">
        <f>SUM(D12:G12)</f>
        <v>4188</v>
      </c>
      <c r="D12" s="99">
        <v>2234</v>
      </c>
      <c r="E12" s="99">
        <v>1476</v>
      </c>
      <c r="F12" s="99">
        <v>390</v>
      </c>
      <c r="G12" s="99">
        <v>88</v>
      </c>
      <c r="H12" s="100">
        <v>1.6069723018147086</v>
      </c>
      <c r="I12" s="99">
        <v>3102</v>
      </c>
      <c r="J12" s="99">
        <v>1086</v>
      </c>
      <c r="K12" s="101">
        <f>+J12/C12*100</f>
        <v>25.931232091690543</v>
      </c>
    </row>
    <row r="13" spans="1:11" ht="12.6" customHeight="1" x14ac:dyDescent="0.2">
      <c r="A13" s="126" t="s">
        <v>15</v>
      </c>
      <c r="B13" s="99">
        <v>24501</v>
      </c>
      <c r="C13" s="99">
        <f>SUM(D13:G13)</f>
        <v>3559</v>
      </c>
      <c r="D13" s="99">
        <v>1959</v>
      </c>
      <c r="E13" s="99">
        <v>1236</v>
      </c>
      <c r="F13" s="99">
        <v>291</v>
      </c>
      <c r="G13" s="99">
        <v>73</v>
      </c>
      <c r="H13" s="100">
        <v>1.5788142736723798</v>
      </c>
      <c r="I13" s="99">
        <v>2823</v>
      </c>
      <c r="J13" s="99">
        <v>736</v>
      </c>
      <c r="K13" s="101">
        <f>+J13/C13*100</f>
        <v>20.679966282663671</v>
      </c>
    </row>
    <row r="14" spans="1:11" ht="12.6" customHeight="1" x14ac:dyDescent="0.2">
      <c r="A14" s="126" t="s">
        <v>16</v>
      </c>
      <c r="B14" s="99">
        <v>29289</v>
      </c>
      <c r="C14" s="99">
        <f>SUM(D14:G14)</f>
        <v>3832</v>
      </c>
      <c r="D14" s="99">
        <v>2172</v>
      </c>
      <c r="E14" s="99">
        <v>1323</v>
      </c>
      <c r="F14" s="99">
        <v>275</v>
      </c>
      <c r="G14" s="99">
        <v>62</v>
      </c>
      <c r="H14" s="100">
        <v>1.5425365344467641</v>
      </c>
      <c r="I14" s="99">
        <v>3036</v>
      </c>
      <c r="J14" s="99">
        <v>796</v>
      </c>
      <c r="K14" s="101">
        <f>+J14/C14*100</f>
        <v>20.772442588726513</v>
      </c>
    </row>
    <row r="15" spans="1:11" ht="3" customHeight="1" x14ac:dyDescent="0.2">
      <c r="A15" s="126"/>
      <c r="B15" s="99"/>
      <c r="C15" s="99"/>
      <c r="D15" s="99"/>
      <c r="E15" s="99"/>
      <c r="F15" s="99"/>
      <c r="G15" s="99"/>
      <c r="H15" s="100"/>
      <c r="I15" s="99"/>
      <c r="J15" s="99"/>
      <c r="K15" s="101"/>
    </row>
    <row r="16" spans="1:11" ht="12.6" customHeight="1" x14ac:dyDescent="0.2">
      <c r="A16" s="128" t="s">
        <v>17</v>
      </c>
      <c r="B16" s="99">
        <f t="shared" ref="B16:G16" si="0">SUM(B10:B14)</f>
        <v>105982</v>
      </c>
      <c r="C16" s="99">
        <f t="shared" si="0"/>
        <v>15283</v>
      </c>
      <c r="D16" s="99">
        <f t="shared" si="0"/>
        <v>8377</v>
      </c>
      <c r="E16" s="99">
        <f t="shared" si="0"/>
        <v>5299</v>
      </c>
      <c r="F16" s="99">
        <f t="shared" si="0"/>
        <v>1291</v>
      </c>
      <c r="G16" s="99">
        <f t="shared" si="0"/>
        <v>316</v>
      </c>
      <c r="H16" s="100">
        <v>1.584309363344893</v>
      </c>
      <c r="I16" s="99">
        <f>SUM(I10:I14)</f>
        <v>11812</v>
      </c>
      <c r="J16" s="99">
        <f>SUM(J10:J14)</f>
        <v>3471</v>
      </c>
      <c r="K16" s="101">
        <f>+J16/C16*100</f>
        <v>22.711509520382123</v>
      </c>
    </row>
    <row r="17" spans="1:11" ht="3" customHeight="1" x14ac:dyDescent="0.2">
      <c r="A17" s="129"/>
      <c r="B17" s="105"/>
      <c r="C17" s="105"/>
      <c r="D17" s="105"/>
      <c r="E17" s="105"/>
      <c r="F17" s="105"/>
      <c r="G17" s="105"/>
      <c r="H17" s="106"/>
      <c r="I17" s="105"/>
      <c r="J17" s="105"/>
      <c r="K17" s="107"/>
    </row>
    <row r="18" spans="1:11" ht="12.6" customHeight="1" x14ac:dyDescent="0.2">
      <c r="A18" s="126" t="s">
        <v>18</v>
      </c>
      <c r="B18" s="99">
        <v>33429</v>
      </c>
      <c r="C18" s="99">
        <f t="shared" ref="C18:C35" si="1">SUM(D18:G18)</f>
        <v>6769</v>
      </c>
      <c r="D18" s="99">
        <v>3437</v>
      </c>
      <c r="E18" s="99">
        <v>2417</v>
      </c>
      <c r="F18" s="99">
        <v>739</v>
      </c>
      <c r="G18" s="99">
        <v>176</v>
      </c>
      <c r="H18" s="100">
        <v>1.6599202245531097</v>
      </c>
      <c r="I18" s="99">
        <v>5371</v>
      </c>
      <c r="J18" s="99">
        <v>1398</v>
      </c>
      <c r="K18" s="101">
        <f t="shared" ref="K18:K35" si="2">+J18/C18*100</f>
        <v>20.652976806027478</v>
      </c>
    </row>
    <row r="19" spans="1:11" ht="12.6" customHeight="1" x14ac:dyDescent="0.2">
      <c r="A19" s="126" t="s">
        <v>19</v>
      </c>
      <c r="B19" s="99">
        <v>3152</v>
      </c>
      <c r="C19" s="99">
        <f t="shared" si="1"/>
        <v>574</v>
      </c>
      <c r="D19" s="99">
        <v>266</v>
      </c>
      <c r="E19" s="99">
        <v>236</v>
      </c>
      <c r="F19" s="99">
        <v>58</v>
      </c>
      <c r="G19" s="99">
        <v>14</v>
      </c>
      <c r="H19" s="100">
        <v>1.6881533101045296</v>
      </c>
      <c r="I19" s="99">
        <v>471</v>
      </c>
      <c r="J19" s="99">
        <v>103</v>
      </c>
      <c r="K19" s="101">
        <f t="shared" si="2"/>
        <v>17.94425087108014</v>
      </c>
    </row>
    <row r="20" spans="1:11" ht="12.6" customHeight="1" x14ac:dyDescent="0.2">
      <c r="A20" s="126" t="s">
        <v>20</v>
      </c>
      <c r="B20" s="99">
        <v>6459</v>
      </c>
      <c r="C20" s="99">
        <f t="shared" si="1"/>
        <v>1203</v>
      </c>
      <c r="D20" s="99">
        <v>568</v>
      </c>
      <c r="E20" s="99">
        <v>491</v>
      </c>
      <c r="F20" s="99">
        <v>110</v>
      </c>
      <c r="G20" s="99">
        <v>34</v>
      </c>
      <c r="H20" s="100">
        <v>1.6832917705735662</v>
      </c>
      <c r="I20" s="99">
        <v>989</v>
      </c>
      <c r="J20" s="99">
        <v>214</v>
      </c>
      <c r="K20" s="101">
        <f t="shared" si="2"/>
        <v>17.78886118038238</v>
      </c>
    </row>
    <row r="21" spans="1:11" ht="12.6" customHeight="1" x14ac:dyDescent="0.2">
      <c r="A21" s="126" t="s">
        <v>21</v>
      </c>
      <c r="B21" s="99">
        <v>8220</v>
      </c>
      <c r="C21" s="99">
        <f t="shared" si="1"/>
        <v>1523</v>
      </c>
      <c r="D21" s="99">
        <v>773</v>
      </c>
      <c r="E21" s="99">
        <v>583</v>
      </c>
      <c r="F21" s="99">
        <v>138</v>
      </c>
      <c r="G21" s="99">
        <v>29</v>
      </c>
      <c r="H21" s="100">
        <v>1.6244254760341432</v>
      </c>
      <c r="I21" s="99">
        <v>1250</v>
      </c>
      <c r="J21" s="99">
        <v>273</v>
      </c>
      <c r="K21" s="101">
        <f t="shared" si="2"/>
        <v>17.925147734734079</v>
      </c>
    </row>
    <row r="22" spans="1:11" ht="12.6" customHeight="1" x14ac:dyDescent="0.2">
      <c r="A22" s="126" t="s">
        <v>22</v>
      </c>
      <c r="B22" s="99">
        <v>13917</v>
      </c>
      <c r="C22" s="99">
        <f t="shared" si="1"/>
        <v>2682</v>
      </c>
      <c r="D22" s="99">
        <v>1314</v>
      </c>
      <c r="E22" s="99">
        <v>1038</v>
      </c>
      <c r="F22" s="99">
        <v>259</v>
      </c>
      <c r="G22" s="99">
        <v>71</v>
      </c>
      <c r="H22" s="100">
        <v>1.6659209545115585</v>
      </c>
      <c r="I22" s="99">
        <v>2200</v>
      </c>
      <c r="J22" s="99">
        <v>482</v>
      </c>
      <c r="K22" s="101">
        <f t="shared" si="2"/>
        <v>17.971662938105894</v>
      </c>
    </row>
    <row r="23" spans="1:11" ht="12.6" customHeight="1" x14ac:dyDescent="0.2">
      <c r="A23" s="126" t="s">
        <v>23</v>
      </c>
      <c r="B23" s="99">
        <v>4475</v>
      </c>
      <c r="C23" s="99">
        <f t="shared" si="1"/>
        <v>906</v>
      </c>
      <c r="D23" s="99">
        <v>454</v>
      </c>
      <c r="E23" s="99">
        <v>340</v>
      </c>
      <c r="F23" s="99">
        <v>87</v>
      </c>
      <c r="G23" s="99">
        <v>25</v>
      </c>
      <c r="H23" s="100">
        <v>1.6534216335540839</v>
      </c>
      <c r="I23" s="99">
        <v>717</v>
      </c>
      <c r="J23" s="99">
        <v>189</v>
      </c>
      <c r="K23" s="101">
        <f t="shared" si="2"/>
        <v>20.860927152317881</v>
      </c>
    </row>
    <row r="24" spans="1:11" ht="12.6" customHeight="1" x14ac:dyDescent="0.2">
      <c r="A24" s="126" t="s">
        <v>24</v>
      </c>
      <c r="B24" s="99">
        <v>14746</v>
      </c>
      <c r="C24" s="99">
        <f t="shared" si="1"/>
        <v>2776</v>
      </c>
      <c r="D24" s="99">
        <v>1345</v>
      </c>
      <c r="E24" s="99">
        <v>1123</v>
      </c>
      <c r="F24" s="99">
        <v>251</v>
      </c>
      <c r="G24" s="99">
        <v>57</v>
      </c>
      <c r="H24" s="100">
        <v>1.6530979827089338</v>
      </c>
      <c r="I24" s="99">
        <v>2267</v>
      </c>
      <c r="J24" s="99">
        <v>509</v>
      </c>
      <c r="K24" s="101">
        <f t="shared" si="2"/>
        <v>18.335734870317001</v>
      </c>
    </row>
    <row r="25" spans="1:11" ht="12.6" customHeight="1" x14ac:dyDescent="0.2">
      <c r="A25" s="126" t="s">
        <v>25</v>
      </c>
      <c r="B25" s="99">
        <v>11728</v>
      </c>
      <c r="C25" s="99">
        <f t="shared" si="1"/>
        <v>2421</v>
      </c>
      <c r="D25" s="99">
        <v>1194</v>
      </c>
      <c r="E25" s="99">
        <v>940</v>
      </c>
      <c r="F25" s="99">
        <v>239</v>
      </c>
      <c r="G25" s="99">
        <v>48</v>
      </c>
      <c r="H25" s="100">
        <v>1.6464270962412226</v>
      </c>
      <c r="I25" s="99">
        <v>1942</v>
      </c>
      <c r="J25" s="99">
        <v>479</v>
      </c>
      <c r="K25" s="101">
        <f t="shared" si="2"/>
        <v>19.785212722015697</v>
      </c>
    </row>
    <row r="26" spans="1:11" ht="12.6" customHeight="1" x14ac:dyDescent="0.2">
      <c r="A26" s="126" t="s">
        <v>26</v>
      </c>
      <c r="B26" s="99">
        <v>3195</v>
      </c>
      <c r="C26" s="99">
        <f t="shared" si="1"/>
        <v>611</v>
      </c>
      <c r="D26" s="99">
        <v>329</v>
      </c>
      <c r="E26" s="99">
        <v>233</v>
      </c>
      <c r="F26" s="99">
        <v>38</v>
      </c>
      <c r="G26" s="99">
        <v>11</v>
      </c>
      <c r="H26" s="100">
        <v>1.5613747954173487</v>
      </c>
      <c r="I26" s="99">
        <v>485</v>
      </c>
      <c r="J26" s="99">
        <v>126</v>
      </c>
      <c r="K26" s="101">
        <f t="shared" si="2"/>
        <v>20.621931260229132</v>
      </c>
    </row>
    <row r="27" spans="1:11" ht="12.6" customHeight="1" x14ac:dyDescent="0.2">
      <c r="A27" s="126" t="s">
        <v>27</v>
      </c>
      <c r="B27" s="99">
        <v>3915</v>
      </c>
      <c r="C27" s="99">
        <f t="shared" si="1"/>
        <v>875</v>
      </c>
      <c r="D27" s="99">
        <v>426</v>
      </c>
      <c r="E27" s="99">
        <v>340</v>
      </c>
      <c r="F27" s="99">
        <v>96</v>
      </c>
      <c r="G27" s="99">
        <v>13</v>
      </c>
      <c r="H27" s="100">
        <v>1.6525714285714286</v>
      </c>
      <c r="I27" s="99">
        <v>695</v>
      </c>
      <c r="J27" s="99">
        <v>180</v>
      </c>
      <c r="K27" s="101">
        <f t="shared" si="2"/>
        <v>20.571428571428569</v>
      </c>
    </row>
    <row r="28" spans="1:11" ht="12.6" customHeight="1" x14ac:dyDescent="0.2">
      <c r="A28" s="126" t="s">
        <v>28</v>
      </c>
      <c r="B28" s="99">
        <v>6644</v>
      </c>
      <c r="C28" s="99">
        <f t="shared" si="1"/>
        <v>1098</v>
      </c>
      <c r="D28" s="99">
        <v>543</v>
      </c>
      <c r="E28" s="99">
        <v>439</v>
      </c>
      <c r="F28" s="99">
        <v>88</v>
      </c>
      <c r="G28" s="99">
        <v>28</v>
      </c>
      <c r="H28" s="100">
        <v>1.639344262295082</v>
      </c>
      <c r="I28" s="99">
        <v>875</v>
      </c>
      <c r="J28" s="99">
        <v>223</v>
      </c>
      <c r="K28" s="101">
        <f t="shared" si="2"/>
        <v>20.309653916211293</v>
      </c>
    </row>
    <row r="29" spans="1:11" ht="12.6" customHeight="1" x14ac:dyDescent="0.2">
      <c r="A29" s="126" t="s">
        <v>29</v>
      </c>
      <c r="B29" s="99">
        <v>11327</v>
      </c>
      <c r="C29" s="99">
        <f t="shared" si="1"/>
        <v>2318</v>
      </c>
      <c r="D29" s="99">
        <v>1094</v>
      </c>
      <c r="E29" s="99">
        <v>948</v>
      </c>
      <c r="F29" s="99">
        <v>223</v>
      </c>
      <c r="G29" s="99">
        <v>53</v>
      </c>
      <c r="H29" s="100">
        <v>1.6781708369283865</v>
      </c>
      <c r="I29" s="99">
        <v>1871</v>
      </c>
      <c r="J29" s="99">
        <v>447</v>
      </c>
      <c r="K29" s="101">
        <f t="shared" si="2"/>
        <v>19.28386540120794</v>
      </c>
    </row>
    <row r="30" spans="1:11" ht="12.6" customHeight="1" x14ac:dyDescent="0.2">
      <c r="A30" s="126" t="s">
        <v>30</v>
      </c>
      <c r="B30" s="99">
        <v>5637</v>
      </c>
      <c r="C30" s="99">
        <f t="shared" si="1"/>
        <v>1219</v>
      </c>
      <c r="D30" s="99">
        <v>642</v>
      </c>
      <c r="E30" s="99">
        <v>435</v>
      </c>
      <c r="F30" s="99">
        <v>120</v>
      </c>
      <c r="G30" s="99">
        <v>22</v>
      </c>
      <c r="H30" s="100">
        <v>1.6152584085315833</v>
      </c>
      <c r="I30" s="99">
        <v>992</v>
      </c>
      <c r="J30" s="99">
        <v>227</v>
      </c>
      <c r="K30" s="101">
        <f t="shared" si="2"/>
        <v>18.621821164889255</v>
      </c>
    </row>
    <row r="31" spans="1:11" ht="12.6" customHeight="1" x14ac:dyDescent="0.2">
      <c r="A31" s="126" t="s">
        <v>31</v>
      </c>
      <c r="B31" s="99">
        <v>8057</v>
      </c>
      <c r="C31" s="99">
        <f t="shared" si="1"/>
        <v>1610</v>
      </c>
      <c r="D31" s="99">
        <v>814</v>
      </c>
      <c r="E31" s="99">
        <v>605</v>
      </c>
      <c r="F31" s="99">
        <v>151</v>
      </c>
      <c r="G31" s="99">
        <v>40</v>
      </c>
      <c r="H31" s="100">
        <v>1.6459627329192548</v>
      </c>
      <c r="I31" s="99">
        <v>1297</v>
      </c>
      <c r="J31" s="99">
        <v>313</v>
      </c>
      <c r="K31" s="101">
        <f t="shared" si="2"/>
        <v>19.440993788819878</v>
      </c>
    </row>
    <row r="32" spans="1:11" ht="12.6" customHeight="1" x14ac:dyDescent="0.2">
      <c r="A32" s="126" t="s">
        <v>32</v>
      </c>
      <c r="B32" s="99">
        <v>22811</v>
      </c>
      <c r="C32" s="99">
        <f t="shared" si="1"/>
        <v>4193</v>
      </c>
      <c r="D32" s="99">
        <v>2020</v>
      </c>
      <c r="E32" s="99">
        <v>1684</v>
      </c>
      <c r="F32" s="99">
        <v>393</v>
      </c>
      <c r="G32" s="99">
        <v>96</v>
      </c>
      <c r="H32" s="100">
        <v>1.6613403291199618</v>
      </c>
      <c r="I32" s="99">
        <v>3462</v>
      </c>
      <c r="J32" s="99">
        <v>731</v>
      </c>
      <c r="K32" s="101">
        <f t="shared" si="2"/>
        <v>17.433818268542808</v>
      </c>
    </row>
    <row r="33" spans="1:11" ht="12.6" customHeight="1" x14ac:dyDescent="0.2">
      <c r="A33" s="126" t="s">
        <v>33</v>
      </c>
      <c r="B33" s="99">
        <v>4361</v>
      </c>
      <c r="C33" s="99">
        <f t="shared" si="1"/>
        <v>801</v>
      </c>
      <c r="D33" s="99">
        <v>415</v>
      </c>
      <c r="E33" s="99">
        <v>274</v>
      </c>
      <c r="F33" s="99">
        <v>84</v>
      </c>
      <c r="G33" s="99">
        <v>28</v>
      </c>
      <c r="H33" s="100">
        <v>1.6828963795255929</v>
      </c>
      <c r="I33" s="99">
        <v>639</v>
      </c>
      <c r="J33" s="99">
        <v>162</v>
      </c>
      <c r="K33" s="101">
        <f t="shared" si="2"/>
        <v>20.224719101123593</v>
      </c>
    </row>
    <row r="34" spans="1:11" ht="12.6" customHeight="1" x14ac:dyDescent="0.2">
      <c r="A34" s="126" t="s">
        <v>34</v>
      </c>
      <c r="B34" s="99">
        <v>14249</v>
      </c>
      <c r="C34" s="99">
        <f t="shared" si="1"/>
        <v>3407</v>
      </c>
      <c r="D34" s="99">
        <v>1637</v>
      </c>
      <c r="E34" s="99">
        <v>1357</v>
      </c>
      <c r="F34" s="99">
        <v>344</v>
      </c>
      <c r="G34" s="99">
        <v>69</v>
      </c>
      <c r="H34" s="100">
        <v>1.6665688288817142</v>
      </c>
      <c r="I34" s="99">
        <v>2747</v>
      </c>
      <c r="J34" s="99">
        <v>660</v>
      </c>
      <c r="K34" s="101">
        <f t="shared" si="2"/>
        <v>19.371881420604637</v>
      </c>
    </row>
    <row r="35" spans="1:11" ht="12.6" customHeight="1" x14ac:dyDescent="0.2">
      <c r="A35" s="126" t="s">
        <v>35</v>
      </c>
      <c r="B35" s="99">
        <v>17165</v>
      </c>
      <c r="C35" s="99">
        <f t="shared" si="1"/>
        <v>3611</v>
      </c>
      <c r="D35" s="99">
        <v>1790</v>
      </c>
      <c r="E35" s="99">
        <v>1347</v>
      </c>
      <c r="F35" s="99">
        <v>382</v>
      </c>
      <c r="G35" s="99">
        <v>92</v>
      </c>
      <c r="H35" s="100">
        <v>1.6682359457214069</v>
      </c>
      <c r="I35" s="99">
        <v>2860</v>
      </c>
      <c r="J35" s="99">
        <v>751</v>
      </c>
      <c r="K35" s="101">
        <f t="shared" si="2"/>
        <v>20.797563001938521</v>
      </c>
    </row>
    <row r="36" spans="1:11" ht="3" customHeight="1" x14ac:dyDescent="0.2">
      <c r="A36" s="126"/>
      <c r="B36" s="99"/>
      <c r="C36" s="99"/>
      <c r="D36" s="99"/>
      <c r="E36" s="99"/>
      <c r="F36" s="99"/>
      <c r="G36" s="99"/>
      <c r="H36" s="100"/>
      <c r="I36" s="99"/>
      <c r="J36" s="99"/>
      <c r="K36" s="101"/>
    </row>
    <row r="37" spans="1:11" ht="12.6" customHeight="1" x14ac:dyDescent="0.2">
      <c r="A37" s="128" t="s">
        <v>36</v>
      </c>
      <c r="B37" s="99">
        <f t="shared" ref="B37:G37" si="3">SUM(B18:B35)</f>
        <v>193487</v>
      </c>
      <c r="C37" s="99">
        <f t="shared" si="3"/>
        <v>38597</v>
      </c>
      <c r="D37" s="99">
        <f t="shared" si="3"/>
        <v>19061</v>
      </c>
      <c r="E37" s="99">
        <f t="shared" si="3"/>
        <v>14830</v>
      </c>
      <c r="F37" s="99">
        <f t="shared" si="3"/>
        <v>3800</v>
      </c>
      <c r="G37" s="99">
        <f t="shared" si="3"/>
        <v>906</v>
      </c>
      <c r="H37" s="100">
        <v>1.6573826981371609</v>
      </c>
      <c r="I37" s="99">
        <f>SUM(I18:I35)</f>
        <v>31130</v>
      </c>
      <c r="J37" s="99">
        <f>SUM(J18:J35)</f>
        <v>7467</v>
      </c>
      <c r="K37" s="101">
        <f>+J37/C37*100</f>
        <v>19.346063165531</v>
      </c>
    </row>
    <row r="38" spans="1:11" ht="3" customHeight="1" x14ac:dyDescent="0.2">
      <c r="A38" s="129"/>
      <c r="B38" s="105"/>
      <c r="C38" s="99"/>
      <c r="D38" s="105"/>
      <c r="E38" s="105"/>
      <c r="F38" s="105"/>
      <c r="G38" s="105"/>
      <c r="H38" s="100"/>
      <c r="I38" s="105"/>
      <c r="J38" s="105"/>
      <c r="K38" s="107"/>
    </row>
    <row r="39" spans="1:11" ht="12.6" customHeight="1" x14ac:dyDescent="0.2">
      <c r="A39" s="128" t="s">
        <v>37</v>
      </c>
      <c r="B39" s="109">
        <f>B16+B37</f>
        <v>299469</v>
      </c>
      <c r="C39" s="110">
        <f>SUM(D39:G39)</f>
        <v>53880</v>
      </c>
      <c r="D39" s="109">
        <f>D16+D37</f>
        <v>27438</v>
      </c>
      <c r="E39" s="109">
        <f>E16+E37</f>
        <v>20129</v>
      </c>
      <c r="F39" s="109">
        <f>F16+F37</f>
        <v>5091</v>
      </c>
      <c r="G39" s="109">
        <f>G16+G37</f>
        <v>1222</v>
      </c>
      <c r="H39" s="136">
        <v>1.6366555308092057</v>
      </c>
      <c r="I39" s="109">
        <f>I16+I37</f>
        <v>42942</v>
      </c>
      <c r="J39" s="109">
        <f>J16+J37</f>
        <v>10938</v>
      </c>
      <c r="K39" s="111">
        <f>+J39/C39*100</f>
        <v>20.300668151447663</v>
      </c>
    </row>
    <row r="40" spans="1:11" ht="12.6" customHeight="1" x14ac:dyDescent="0.2">
      <c r="A40" s="130" t="s">
        <v>76</v>
      </c>
      <c r="B40" s="113"/>
      <c r="C40" s="114"/>
      <c r="D40" s="114"/>
      <c r="E40" s="114"/>
      <c r="F40" s="114"/>
      <c r="G40" s="115"/>
      <c r="H40" s="114"/>
      <c r="I40" s="114"/>
      <c r="J40" s="114"/>
      <c r="K40" s="114"/>
    </row>
    <row r="41" spans="1:11" ht="12.6" customHeight="1" x14ac:dyDescent="0.2">
      <c r="A41" s="131" t="s">
        <v>93</v>
      </c>
      <c r="B41" s="122"/>
      <c r="C41" s="122"/>
      <c r="D41" s="122"/>
      <c r="E41" s="122"/>
      <c r="F41" s="122"/>
      <c r="G41" s="132"/>
      <c r="H41" s="122"/>
      <c r="I41" s="122"/>
      <c r="J41" s="122"/>
      <c r="K41" s="122"/>
    </row>
  </sheetData>
  <mergeCells count="8">
    <mergeCell ref="A6:A8"/>
    <mergeCell ref="B6:B8"/>
    <mergeCell ref="C6:K6"/>
    <mergeCell ref="C7:C8"/>
    <mergeCell ref="D7:G7"/>
    <mergeCell ref="H7:H8"/>
    <mergeCell ref="I7:I8"/>
    <mergeCell ref="J7:K7"/>
  </mergeCells>
  <phoneticPr fontId="0" type="noConversion"/>
  <pageMargins left="0.59055118110236227" right="0.59055118110236227" top="0.59055118110236227" bottom="0.59055118110236227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0">
    <pageSetUpPr fitToPage="1"/>
  </sheetPr>
  <dimension ref="A1:K41"/>
  <sheetViews>
    <sheetView workbookViewId="0">
      <selection activeCell="M1" sqref="M1:N65536"/>
    </sheetView>
  </sheetViews>
  <sheetFormatPr baseColWidth="10" defaultColWidth="9.83203125" defaultRowHeight="12.75" customHeight="1" x14ac:dyDescent="0.2"/>
  <cols>
    <col min="1" max="1" width="21.1640625" style="117" customWidth="1"/>
    <col min="2" max="2" width="10.5" style="117" customWidth="1"/>
    <col min="3" max="3" width="9.6640625" style="117" customWidth="1"/>
    <col min="4" max="4" width="9.1640625" style="117" customWidth="1"/>
    <col min="5" max="7" width="9" style="117" customWidth="1"/>
    <col min="8" max="8" width="10.6640625" style="117" customWidth="1"/>
    <col min="9" max="10" width="9" style="117" customWidth="1"/>
    <col min="11" max="11" width="11.5" style="117" bestFit="1" customWidth="1"/>
    <col min="12" max="16384" width="9.83203125" style="117"/>
  </cols>
  <sheetData>
    <row r="1" spans="1:11" ht="12.75" customHeight="1" x14ac:dyDescent="0.2">
      <c r="A1" s="49" t="s">
        <v>77</v>
      </c>
      <c r="B1" s="49"/>
      <c r="C1" s="49"/>
      <c r="D1" s="49"/>
      <c r="E1" s="49"/>
      <c r="F1" s="49"/>
      <c r="G1" s="49"/>
      <c r="H1" s="87"/>
      <c r="I1" s="87"/>
      <c r="J1" s="87"/>
      <c r="K1" s="87"/>
    </row>
    <row r="3" spans="1:11" ht="12.6" customHeight="1" x14ac:dyDescent="0.2">
      <c r="A3" s="118" t="s">
        <v>85</v>
      </c>
      <c r="B3" s="119"/>
      <c r="C3" s="119"/>
      <c r="D3" s="119"/>
      <c r="E3" s="119"/>
      <c r="F3" s="119"/>
      <c r="G3" s="119"/>
      <c r="H3" s="119"/>
      <c r="I3" s="119"/>
      <c r="J3" s="119"/>
      <c r="K3" s="119"/>
    </row>
    <row r="4" spans="1:11" ht="12.6" customHeight="1" x14ac:dyDescent="0.2">
      <c r="A4" s="120" t="s">
        <v>78</v>
      </c>
      <c r="B4" s="119"/>
      <c r="C4" s="119"/>
      <c r="D4" s="119"/>
      <c r="E4" s="119"/>
      <c r="F4" s="119"/>
      <c r="G4" s="119"/>
      <c r="H4" s="119"/>
      <c r="I4" s="119"/>
      <c r="J4" s="119"/>
      <c r="K4" s="119"/>
    </row>
    <row r="5" spans="1:11" ht="12.6" customHeight="1" x14ac:dyDescent="0.2">
      <c r="A5" s="121"/>
      <c r="B5" s="122"/>
      <c r="C5" s="122"/>
      <c r="D5" s="122"/>
      <c r="E5" s="122"/>
      <c r="F5" s="122"/>
      <c r="G5" s="122"/>
      <c r="H5" s="122"/>
      <c r="I5" s="122"/>
      <c r="J5" s="122"/>
      <c r="K5" s="122"/>
    </row>
    <row r="6" spans="1:11" ht="12.6" customHeight="1" thickBot="1" x14ac:dyDescent="0.25">
      <c r="A6" s="154" t="s">
        <v>2</v>
      </c>
      <c r="B6" s="156" t="s">
        <v>92</v>
      </c>
      <c r="C6" s="158" t="s">
        <v>74</v>
      </c>
      <c r="D6" s="158"/>
      <c r="E6" s="158"/>
      <c r="F6" s="158"/>
      <c r="G6" s="158"/>
      <c r="H6" s="158"/>
      <c r="I6" s="158"/>
      <c r="J6" s="158"/>
      <c r="K6" s="159"/>
    </row>
    <row r="7" spans="1:11" ht="12.6" customHeight="1" thickBot="1" x14ac:dyDescent="0.25">
      <c r="A7" s="155"/>
      <c r="B7" s="157"/>
      <c r="C7" s="160" t="s">
        <v>3</v>
      </c>
      <c r="D7" s="160" t="s">
        <v>4</v>
      </c>
      <c r="E7" s="160"/>
      <c r="F7" s="160"/>
      <c r="G7" s="160"/>
      <c r="H7" s="157" t="s">
        <v>75</v>
      </c>
      <c r="I7" s="160" t="s">
        <v>6</v>
      </c>
      <c r="J7" s="161" t="s">
        <v>7</v>
      </c>
      <c r="K7" s="162"/>
    </row>
    <row r="8" spans="1:11" ht="12.6" customHeight="1" thickBot="1" x14ac:dyDescent="0.25">
      <c r="A8" s="155"/>
      <c r="B8" s="157"/>
      <c r="C8" s="160"/>
      <c r="D8" s="123">
        <v>1</v>
      </c>
      <c r="E8" s="123">
        <v>2</v>
      </c>
      <c r="F8" s="123">
        <v>3</v>
      </c>
      <c r="G8" s="123" t="s">
        <v>8</v>
      </c>
      <c r="H8" s="157"/>
      <c r="I8" s="160"/>
      <c r="J8" s="123" t="s">
        <v>10</v>
      </c>
      <c r="K8" s="124" t="s">
        <v>11</v>
      </c>
    </row>
    <row r="9" spans="1:11" ht="12.6" customHeight="1" x14ac:dyDescent="0.2">
      <c r="A9" s="125"/>
      <c r="B9" s="122"/>
      <c r="C9" s="122"/>
      <c r="D9" s="122"/>
      <c r="E9" s="122"/>
      <c r="F9" s="122"/>
      <c r="G9" s="122"/>
      <c r="H9" s="122"/>
      <c r="I9" s="122"/>
      <c r="J9" s="122"/>
      <c r="K9" s="122"/>
    </row>
    <row r="10" spans="1:11" ht="12.6" customHeight="1" x14ac:dyDescent="0.2">
      <c r="A10" s="126" t="s">
        <v>12</v>
      </c>
      <c r="B10" s="99">
        <v>14118</v>
      </c>
      <c r="C10" s="99">
        <f>SUM(D10:G10)</f>
        <v>1381</v>
      </c>
      <c r="D10" s="99">
        <v>777</v>
      </c>
      <c r="E10" s="99">
        <v>466</v>
      </c>
      <c r="F10" s="99">
        <v>96</v>
      </c>
      <c r="G10" s="99">
        <v>42</v>
      </c>
      <c r="H10" s="100">
        <f>2189/C10</f>
        <v>1.5850832729905866</v>
      </c>
      <c r="I10" s="99">
        <v>1054</v>
      </c>
      <c r="J10" s="99">
        <v>327</v>
      </c>
      <c r="K10" s="101">
        <f>+J10/C10*100</f>
        <v>23.678493845039828</v>
      </c>
    </row>
    <row r="11" spans="1:11" ht="12.6" customHeight="1" x14ac:dyDescent="0.2">
      <c r="A11" s="126" t="s">
        <v>13</v>
      </c>
      <c r="B11" s="99">
        <v>13621</v>
      </c>
      <c r="C11" s="99">
        <f>SUM(D11:G11)</f>
        <v>2363</v>
      </c>
      <c r="D11" s="99">
        <v>1240</v>
      </c>
      <c r="E11" s="99">
        <v>827</v>
      </c>
      <c r="F11" s="99">
        <v>227</v>
      </c>
      <c r="G11" s="99">
        <v>69</v>
      </c>
      <c r="H11" s="100">
        <f>3873/C11</f>
        <v>1.6390181972069404</v>
      </c>
      <c r="I11" s="99">
        <v>1836</v>
      </c>
      <c r="J11" s="99">
        <v>527</v>
      </c>
      <c r="K11" s="101">
        <f>+J11/C11*100</f>
        <v>22.302158273381295</v>
      </c>
    </row>
    <row r="12" spans="1:11" ht="12.6" customHeight="1" x14ac:dyDescent="0.2">
      <c r="A12" s="126" t="s">
        <v>14</v>
      </c>
      <c r="B12" s="99">
        <v>26129</v>
      </c>
      <c r="C12" s="99">
        <f>SUM(D12:G12)</f>
        <v>4245</v>
      </c>
      <c r="D12" s="99">
        <v>2249</v>
      </c>
      <c r="E12" s="99">
        <v>1515</v>
      </c>
      <c r="F12" s="99">
        <v>383</v>
      </c>
      <c r="G12" s="99">
        <v>98</v>
      </c>
      <c r="H12" s="100">
        <f>6844/C12</f>
        <v>1.6122497055359246</v>
      </c>
      <c r="I12" s="99">
        <v>3126</v>
      </c>
      <c r="J12" s="99">
        <v>1119</v>
      </c>
      <c r="K12" s="101">
        <f>+J12/C12*100</f>
        <v>26.360424028268554</v>
      </c>
    </row>
    <row r="13" spans="1:11" ht="12.6" customHeight="1" x14ac:dyDescent="0.2">
      <c r="A13" s="126" t="s">
        <v>15</v>
      </c>
      <c r="B13" s="99">
        <v>25181</v>
      </c>
      <c r="C13" s="99">
        <f>SUM(D13:G13)</f>
        <v>3580</v>
      </c>
      <c r="D13" s="99">
        <v>1959</v>
      </c>
      <c r="E13" s="99">
        <v>1251</v>
      </c>
      <c r="F13" s="99">
        <v>299</v>
      </c>
      <c r="G13" s="99">
        <v>71</v>
      </c>
      <c r="H13" s="100">
        <f>5666/C13</f>
        <v>1.5826815642458101</v>
      </c>
      <c r="I13" s="99">
        <v>2825</v>
      </c>
      <c r="J13" s="99">
        <v>755</v>
      </c>
      <c r="K13" s="101">
        <f>+J13/C13*100</f>
        <v>21.089385474860336</v>
      </c>
    </row>
    <row r="14" spans="1:11" ht="12.6" customHeight="1" x14ac:dyDescent="0.2">
      <c r="A14" s="126" t="s">
        <v>16</v>
      </c>
      <c r="B14" s="99">
        <v>30138</v>
      </c>
      <c r="C14" s="99">
        <f>SUM(D14:G14)</f>
        <v>3814</v>
      </c>
      <c r="D14" s="99">
        <v>2123</v>
      </c>
      <c r="E14" s="99">
        <v>1339</v>
      </c>
      <c r="F14" s="99">
        <v>283</v>
      </c>
      <c r="G14" s="99">
        <v>69</v>
      </c>
      <c r="H14" s="100">
        <f>5943/C14</f>
        <v>1.5582066072364971</v>
      </c>
      <c r="I14" s="99">
        <v>3012</v>
      </c>
      <c r="J14" s="99">
        <v>802</v>
      </c>
      <c r="K14" s="101">
        <f>+J14/C14*100</f>
        <v>21.027792343995806</v>
      </c>
    </row>
    <row r="15" spans="1:11" ht="3" customHeight="1" x14ac:dyDescent="0.2">
      <c r="A15" s="126"/>
      <c r="B15" s="99"/>
      <c r="C15" s="99"/>
      <c r="D15" s="99"/>
      <c r="E15" s="99"/>
      <c r="F15" s="99"/>
      <c r="G15" s="99"/>
      <c r="H15" s="100"/>
      <c r="I15" s="99"/>
      <c r="J15" s="99"/>
      <c r="K15" s="101"/>
    </row>
    <row r="16" spans="1:11" ht="12.6" customHeight="1" x14ac:dyDescent="0.2">
      <c r="A16" s="128" t="s">
        <v>17</v>
      </c>
      <c r="B16" s="99">
        <f t="shared" ref="B16:G16" si="0">SUM(B10:B14)</f>
        <v>109187</v>
      </c>
      <c r="C16" s="99">
        <f t="shared" si="0"/>
        <v>15383</v>
      </c>
      <c r="D16" s="99">
        <f t="shared" si="0"/>
        <v>8348</v>
      </c>
      <c r="E16" s="99">
        <f t="shared" si="0"/>
        <v>5398</v>
      </c>
      <c r="F16" s="99">
        <f t="shared" si="0"/>
        <v>1288</v>
      </c>
      <c r="G16" s="99">
        <f t="shared" si="0"/>
        <v>349</v>
      </c>
      <c r="H16" s="100">
        <f>24515/C16</f>
        <v>1.5936423324449067</v>
      </c>
      <c r="I16" s="99">
        <f>SUM(I10:I14)</f>
        <v>11853</v>
      </c>
      <c r="J16" s="99">
        <f>SUM(J10:J14)</f>
        <v>3530</v>
      </c>
      <c r="K16" s="101">
        <f>+J16/C16*100</f>
        <v>22.94740947799519</v>
      </c>
    </row>
    <row r="17" spans="1:11" ht="3" customHeight="1" x14ac:dyDescent="0.2">
      <c r="A17" s="129"/>
      <c r="B17" s="105"/>
      <c r="C17" s="105"/>
      <c r="D17" s="105"/>
      <c r="E17" s="105"/>
      <c r="F17" s="105"/>
      <c r="G17" s="105"/>
      <c r="H17" s="106"/>
      <c r="I17" s="105"/>
      <c r="J17" s="105"/>
      <c r="K17" s="107"/>
    </row>
    <row r="18" spans="1:11" ht="12.6" customHeight="1" x14ac:dyDescent="0.2">
      <c r="A18" s="126" t="s">
        <v>18</v>
      </c>
      <c r="B18" s="99">
        <v>33781</v>
      </c>
      <c r="C18" s="99">
        <f t="shared" ref="C18:C35" si="1">SUM(D18:G18)</f>
        <v>6788</v>
      </c>
      <c r="D18" s="99">
        <v>3424</v>
      </c>
      <c r="E18" s="99">
        <v>2462</v>
      </c>
      <c r="F18" s="99">
        <v>728</v>
      </c>
      <c r="G18" s="99">
        <v>174</v>
      </c>
      <c r="H18" s="100">
        <f>11264/C18</f>
        <v>1.6593989393046553</v>
      </c>
      <c r="I18" s="99">
        <v>5349</v>
      </c>
      <c r="J18" s="99">
        <v>1439</v>
      </c>
      <c r="K18" s="101">
        <f t="shared" ref="K18:K35" si="2">+J18/C18*100</f>
        <v>21.199175014731882</v>
      </c>
    </row>
    <row r="19" spans="1:11" ht="12.6" customHeight="1" x14ac:dyDescent="0.2">
      <c r="A19" s="126" t="s">
        <v>19</v>
      </c>
      <c r="B19" s="99">
        <v>3214</v>
      </c>
      <c r="C19" s="99">
        <f t="shared" si="1"/>
        <v>607</v>
      </c>
      <c r="D19" s="99">
        <v>303</v>
      </c>
      <c r="E19" s="99">
        <v>239</v>
      </c>
      <c r="F19" s="99">
        <v>52</v>
      </c>
      <c r="G19" s="99">
        <v>13</v>
      </c>
      <c r="H19" s="100">
        <f>990/C19</f>
        <v>1.6309719934102143</v>
      </c>
      <c r="I19" s="99">
        <v>493</v>
      </c>
      <c r="J19" s="99">
        <v>114</v>
      </c>
      <c r="K19" s="101">
        <f t="shared" si="2"/>
        <v>18.780889621087315</v>
      </c>
    </row>
    <row r="20" spans="1:11" ht="12.6" customHeight="1" x14ac:dyDescent="0.2">
      <c r="A20" s="126" t="s">
        <v>20</v>
      </c>
      <c r="B20" s="99">
        <v>6607</v>
      </c>
      <c r="C20" s="99">
        <f t="shared" si="1"/>
        <v>1194</v>
      </c>
      <c r="D20" s="99">
        <v>584</v>
      </c>
      <c r="E20" s="99">
        <v>467</v>
      </c>
      <c r="F20" s="99">
        <v>109</v>
      </c>
      <c r="G20" s="99">
        <v>34</v>
      </c>
      <c r="H20" s="100">
        <f>1988/C20</f>
        <v>1.6649916247906198</v>
      </c>
      <c r="I20" s="99">
        <v>977</v>
      </c>
      <c r="J20" s="99">
        <v>217</v>
      </c>
      <c r="K20" s="101">
        <f t="shared" si="2"/>
        <v>18.174204355108877</v>
      </c>
    </row>
    <row r="21" spans="1:11" ht="12.6" customHeight="1" x14ac:dyDescent="0.2">
      <c r="A21" s="126" t="s">
        <v>21</v>
      </c>
      <c r="B21" s="99">
        <v>8428</v>
      </c>
      <c r="C21" s="99">
        <f t="shared" si="1"/>
        <v>1536</v>
      </c>
      <c r="D21" s="99">
        <v>800</v>
      </c>
      <c r="E21" s="99">
        <v>581</v>
      </c>
      <c r="F21" s="99">
        <v>128</v>
      </c>
      <c r="G21" s="99">
        <v>27</v>
      </c>
      <c r="H21" s="100">
        <f>2458/C21</f>
        <v>1.6002604166666667</v>
      </c>
      <c r="I21" s="99">
        <v>1240</v>
      </c>
      <c r="J21" s="99">
        <v>296</v>
      </c>
      <c r="K21" s="101">
        <f t="shared" si="2"/>
        <v>19.270833333333336</v>
      </c>
    </row>
    <row r="22" spans="1:11" ht="12.6" customHeight="1" x14ac:dyDescent="0.2">
      <c r="A22" s="126" t="s">
        <v>22</v>
      </c>
      <c r="B22" s="99">
        <v>14088</v>
      </c>
      <c r="C22" s="99">
        <f t="shared" si="1"/>
        <v>2667</v>
      </c>
      <c r="D22" s="99">
        <v>1327</v>
      </c>
      <c r="E22" s="99">
        <v>1004</v>
      </c>
      <c r="F22" s="99">
        <v>266</v>
      </c>
      <c r="G22" s="99">
        <v>70</v>
      </c>
      <c r="H22" s="100">
        <f>4428/C22</f>
        <v>1.6602924634420697</v>
      </c>
      <c r="I22" s="99">
        <v>2193</v>
      </c>
      <c r="J22" s="99">
        <v>474</v>
      </c>
      <c r="K22" s="101">
        <f t="shared" si="2"/>
        <v>17.772778402699664</v>
      </c>
    </row>
    <row r="23" spans="1:11" ht="12.6" customHeight="1" x14ac:dyDescent="0.2">
      <c r="A23" s="126" t="s">
        <v>23</v>
      </c>
      <c r="B23" s="99">
        <v>4548</v>
      </c>
      <c r="C23" s="99">
        <f t="shared" si="1"/>
        <v>922</v>
      </c>
      <c r="D23" s="99">
        <v>474</v>
      </c>
      <c r="E23" s="99">
        <v>333</v>
      </c>
      <c r="F23" s="99">
        <v>87</v>
      </c>
      <c r="G23" s="99">
        <v>28</v>
      </c>
      <c r="H23" s="100">
        <f>1518/C23</f>
        <v>1.6464208242950109</v>
      </c>
      <c r="I23" s="99">
        <v>737</v>
      </c>
      <c r="J23" s="99">
        <v>185</v>
      </c>
      <c r="K23" s="101">
        <f t="shared" si="2"/>
        <v>20.065075921908893</v>
      </c>
    </row>
    <row r="24" spans="1:11" ht="12.6" customHeight="1" x14ac:dyDescent="0.2">
      <c r="A24" s="126" t="s">
        <v>24</v>
      </c>
      <c r="B24" s="99">
        <v>15148</v>
      </c>
      <c r="C24" s="99">
        <f t="shared" si="1"/>
        <v>2765</v>
      </c>
      <c r="D24" s="99">
        <v>1352</v>
      </c>
      <c r="E24" s="99">
        <v>1099</v>
      </c>
      <c r="F24" s="99">
        <v>253</v>
      </c>
      <c r="G24" s="99">
        <v>61</v>
      </c>
      <c r="H24" s="100">
        <f>4573/C24</f>
        <v>1.653887884267631</v>
      </c>
      <c r="I24" s="99">
        <v>2228</v>
      </c>
      <c r="J24" s="99">
        <v>537</v>
      </c>
      <c r="K24" s="101">
        <f t="shared" si="2"/>
        <v>19.421338155515372</v>
      </c>
    </row>
    <row r="25" spans="1:11" ht="12.6" customHeight="1" x14ac:dyDescent="0.2">
      <c r="A25" s="126" t="s">
        <v>25</v>
      </c>
      <c r="B25" s="99">
        <v>11865</v>
      </c>
      <c r="C25" s="99">
        <f t="shared" si="1"/>
        <v>2490</v>
      </c>
      <c r="D25" s="99">
        <v>1224</v>
      </c>
      <c r="E25" s="99">
        <v>984</v>
      </c>
      <c r="F25" s="99">
        <v>231</v>
      </c>
      <c r="G25" s="99">
        <v>51</v>
      </c>
      <c r="H25" s="100">
        <f>4095/C25</f>
        <v>1.6445783132530121</v>
      </c>
      <c r="I25" s="99">
        <v>1980</v>
      </c>
      <c r="J25" s="99">
        <v>510</v>
      </c>
      <c r="K25" s="101">
        <f t="shared" si="2"/>
        <v>20.481927710843372</v>
      </c>
    </row>
    <row r="26" spans="1:11" ht="12.6" customHeight="1" x14ac:dyDescent="0.2">
      <c r="A26" s="126" t="s">
        <v>26</v>
      </c>
      <c r="B26" s="99">
        <v>3260</v>
      </c>
      <c r="C26" s="99">
        <f t="shared" si="1"/>
        <v>605</v>
      </c>
      <c r="D26" s="99">
        <v>324</v>
      </c>
      <c r="E26" s="99">
        <v>231</v>
      </c>
      <c r="F26" s="99">
        <v>41</v>
      </c>
      <c r="G26" s="99">
        <v>9</v>
      </c>
      <c r="H26" s="100">
        <f>946/C26</f>
        <v>1.5636363636363637</v>
      </c>
      <c r="I26" s="99">
        <v>471</v>
      </c>
      <c r="J26" s="99">
        <v>134</v>
      </c>
      <c r="K26" s="101">
        <f t="shared" si="2"/>
        <v>22.148760330578511</v>
      </c>
    </row>
    <row r="27" spans="1:11" ht="12.6" customHeight="1" x14ac:dyDescent="0.2">
      <c r="A27" s="126" t="s">
        <v>27</v>
      </c>
      <c r="B27" s="99">
        <v>4017</v>
      </c>
      <c r="C27" s="99">
        <f t="shared" si="1"/>
        <v>887</v>
      </c>
      <c r="D27" s="99">
        <v>428</v>
      </c>
      <c r="E27" s="99">
        <v>356</v>
      </c>
      <c r="F27" s="99">
        <v>86</v>
      </c>
      <c r="G27" s="99">
        <v>17</v>
      </c>
      <c r="H27" s="100">
        <f>1468/C27</f>
        <v>1.6550169109357384</v>
      </c>
      <c r="I27" s="99">
        <v>698</v>
      </c>
      <c r="J27" s="99">
        <v>189</v>
      </c>
      <c r="K27" s="101">
        <f t="shared" si="2"/>
        <v>21.307779030439683</v>
      </c>
    </row>
    <row r="28" spans="1:11" ht="12.6" customHeight="1" x14ac:dyDescent="0.2">
      <c r="A28" s="126" t="s">
        <v>28</v>
      </c>
      <c r="B28" s="99">
        <v>6850</v>
      </c>
      <c r="C28" s="99">
        <f t="shared" si="1"/>
        <v>1097</v>
      </c>
      <c r="D28" s="99">
        <v>552</v>
      </c>
      <c r="E28" s="99">
        <v>432</v>
      </c>
      <c r="F28" s="99">
        <v>81</v>
      </c>
      <c r="G28" s="99">
        <v>32</v>
      </c>
      <c r="H28" s="100">
        <f>1790/C28</f>
        <v>1.6317228805834092</v>
      </c>
      <c r="I28" s="99">
        <v>878</v>
      </c>
      <c r="J28" s="99">
        <v>219</v>
      </c>
      <c r="K28" s="101">
        <f t="shared" si="2"/>
        <v>19.963536918869647</v>
      </c>
    </row>
    <row r="29" spans="1:11" ht="12.6" customHeight="1" x14ac:dyDescent="0.2">
      <c r="A29" s="126" t="s">
        <v>29</v>
      </c>
      <c r="B29" s="99">
        <v>11562</v>
      </c>
      <c r="C29" s="99">
        <f t="shared" si="1"/>
        <v>2281</v>
      </c>
      <c r="D29" s="99">
        <v>1077</v>
      </c>
      <c r="E29" s="99">
        <v>948</v>
      </c>
      <c r="F29" s="99">
        <v>207</v>
      </c>
      <c r="G29" s="99">
        <v>49</v>
      </c>
      <c r="H29" s="100">
        <f>3805/C29</f>
        <v>1.6681280140289347</v>
      </c>
      <c r="I29" s="99">
        <v>1817</v>
      </c>
      <c r="J29" s="99">
        <v>464</v>
      </c>
      <c r="K29" s="101">
        <f t="shared" si="2"/>
        <v>20.341955282770716</v>
      </c>
    </row>
    <row r="30" spans="1:11" ht="12.6" customHeight="1" x14ac:dyDescent="0.2">
      <c r="A30" s="126" t="s">
        <v>30</v>
      </c>
      <c r="B30" s="99">
        <v>5649</v>
      </c>
      <c r="C30" s="99">
        <f t="shared" si="1"/>
        <v>1233</v>
      </c>
      <c r="D30" s="99">
        <v>637</v>
      </c>
      <c r="E30" s="99">
        <v>452</v>
      </c>
      <c r="F30" s="99">
        <v>118</v>
      </c>
      <c r="G30" s="99">
        <v>26</v>
      </c>
      <c r="H30" s="100">
        <f>2010/C30</f>
        <v>1.6301703163017032</v>
      </c>
      <c r="I30" s="99">
        <v>999</v>
      </c>
      <c r="J30" s="99">
        <v>234</v>
      </c>
      <c r="K30" s="101">
        <f t="shared" si="2"/>
        <v>18.978102189781019</v>
      </c>
    </row>
    <row r="31" spans="1:11" ht="12.6" customHeight="1" x14ac:dyDescent="0.2">
      <c r="A31" s="126" t="s">
        <v>31</v>
      </c>
      <c r="B31" s="99">
        <v>8197</v>
      </c>
      <c r="C31" s="99">
        <f t="shared" si="1"/>
        <v>1591</v>
      </c>
      <c r="D31" s="99">
        <v>790</v>
      </c>
      <c r="E31" s="99">
        <v>620</v>
      </c>
      <c r="F31" s="99">
        <v>136</v>
      </c>
      <c r="G31" s="99">
        <v>45</v>
      </c>
      <c r="H31" s="100">
        <f>2631/C31</f>
        <v>1.6536769327467002</v>
      </c>
      <c r="I31" s="99">
        <v>1271</v>
      </c>
      <c r="J31" s="99">
        <v>320</v>
      </c>
      <c r="K31" s="101">
        <f t="shared" si="2"/>
        <v>20.113136392206162</v>
      </c>
    </row>
    <row r="32" spans="1:11" ht="12.6" customHeight="1" x14ac:dyDescent="0.2">
      <c r="A32" s="126" t="s">
        <v>32</v>
      </c>
      <c r="B32" s="99">
        <v>23596</v>
      </c>
      <c r="C32" s="99">
        <f t="shared" si="1"/>
        <v>4174</v>
      </c>
      <c r="D32" s="99">
        <v>2038</v>
      </c>
      <c r="E32" s="99">
        <v>1660</v>
      </c>
      <c r="F32" s="99">
        <v>380</v>
      </c>
      <c r="G32" s="99">
        <v>96</v>
      </c>
      <c r="H32" s="100">
        <f>6899/C32</f>
        <v>1.6528509822712028</v>
      </c>
      <c r="I32" s="99">
        <v>3440</v>
      </c>
      <c r="J32" s="99">
        <v>734</v>
      </c>
      <c r="K32" s="101">
        <f t="shared" si="2"/>
        <v>17.585050311451845</v>
      </c>
    </row>
    <row r="33" spans="1:11" ht="12.6" customHeight="1" x14ac:dyDescent="0.2">
      <c r="A33" s="126" t="s">
        <v>33</v>
      </c>
      <c r="B33" s="99">
        <v>4454</v>
      </c>
      <c r="C33" s="99">
        <f t="shared" si="1"/>
        <v>809</v>
      </c>
      <c r="D33" s="99">
        <v>428</v>
      </c>
      <c r="E33" s="99">
        <v>286</v>
      </c>
      <c r="F33" s="99">
        <v>74</v>
      </c>
      <c r="G33" s="99">
        <v>21</v>
      </c>
      <c r="H33" s="100">
        <f>1325/C33</f>
        <v>1.6378244746600741</v>
      </c>
      <c r="I33" s="99">
        <v>649</v>
      </c>
      <c r="J33" s="99">
        <v>160</v>
      </c>
      <c r="K33" s="101">
        <f t="shared" si="2"/>
        <v>19.777503090234859</v>
      </c>
    </row>
    <row r="34" spans="1:11" ht="12.6" customHeight="1" x14ac:dyDescent="0.2">
      <c r="A34" s="126" t="s">
        <v>34</v>
      </c>
      <c r="B34" s="99">
        <v>14406</v>
      </c>
      <c r="C34" s="99">
        <f t="shared" si="1"/>
        <v>3370</v>
      </c>
      <c r="D34" s="99">
        <v>1626</v>
      </c>
      <c r="E34" s="99">
        <v>1335</v>
      </c>
      <c r="F34" s="99">
        <v>341</v>
      </c>
      <c r="G34" s="99">
        <v>68</v>
      </c>
      <c r="H34" s="100">
        <f>5606/C34</f>
        <v>1.6635014836795252</v>
      </c>
      <c r="I34" s="99">
        <v>2739</v>
      </c>
      <c r="J34" s="99">
        <v>631</v>
      </c>
      <c r="K34" s="101">
        <f t="shared" si="2"/>
        <v>18.724035608308608</v>
      </c>
    </row>
    <row r="35" spans="1:11" ht="12.6" customHeight="1" x14ac:dyDescent="0.2">
      <c r="A35" s="126" t="s">
        <v>35</v>
      </c>
      <c r="B35" s="99">
        <v>17259</v>
      </c>
      <c r="C35" s="99">
        <f t="shared" si="1"/>
        <v>3566</v>
      </c>
      <c r="D35" s="99">
        <v>1791</v>
      </c>
      <c r="E35" s="99">
        <v>1302</v>
      </c>
      <c r="F35" s="99">
        <v>382</v>
      </c>
      <c r="G35" s="99">
        <v>91</v>
      </c>
      <c r="H35" s="100">
        <f>5937/C35</f>
        <v>1.6648906337633202</v>
      </c>
      <c r="I35" s="99">
        <v>2848</v>
      </c>
      <c r="J35" s="99">
        <v>718</v>
      </c>
      <c r="K35" s="101">
        <f t="shared" si="2"/>
        <v>20.134604598990467</v>
      </c>
    </row>
    <row r="36" spans="1:11" ht="3" customHeight="1" x14ac:dyDescent="0.2">
      <c r="A36" s="126"/>
      <c r="B36" s="99"/>
      <c r="C36" s="99"/>
      <c r="D36" s="99"/>
      <c r="E36" s="99"/>
      <c r="F36" s="99"/>
      <c r="G36" s="99"/>
      <c r="H36" s="100"/>
      <c r="I36" s="99"/>
      <c r="J36" s="99"/>
      <c r="K36" s="101"/>
    </row>
    <row r="37" spans="1:11" ht="12.6" customHeight="1" x14ac:dyDescent="0.2">
      <c r="A37" s="128" t="s">
        <v>36</v>
      </c>
      <c r="B37" s="99">
        <f t="shared" ref="B37:G37" si="3">SUM(B18:B35)</f>
        <v>196929</v>
      </c>
      <c r="C37" s="99">
        <f t="shared" si="3"/>
        <v>38582</v>
      </c>
      <c r="D37" s="99">
        <f t="shared" si="3"/>
        <v>19179</v>
      </c>
      <c r="E37" s="99">
        <f t="shared" si="3"/>
        <v>14791</v>
      </c>
      <c r="F37" s="99">
        <f t="shared" si="3"/>
        <v>3700</v>
      </c>
      <c r="G37" s="99">
        <f t="shared" si="3"/>
        <v>912</v>
      </c>
      <c r="H37" s="100">
        <f>63731/C37</f>
        <v>1.6518324607329844</v>
      </c>
      <c r="I37" s="99">
        <f>SUM(I18:I35)</f>
        <v>31007</v>
      </c>
      <c r="J37" s="99">
        <f>SUM(J18:J35)</f>
        <v>7575</v>
      </c>
      <c r="K37" s="101">
        <f>+J37/C37*100</f>
        <v>19.633507853403142</v>
      </c>
    </row>
    <row r="38" spans="1:11" ht="3" customHeight="1" x14ac:dyDescent="0.2">
      <c r="A38" s="129"/>
      <c r="B38" s="105"/>
      <c r="C38" s="99"/>
      <c r="D38" s="105"/>
      <c r="E38" s="105"/>
      <c r="F38" s="105"/>
      <c r="G38" s="105"/>
      <c r="H38" s="100"/>
      <c r="I38" s="105"/>
      <c r="J38" s="105"/>
      <c r="K38" s="107"/>
    </row>
    <row r="39" spans="1:11" ht="12.6" customHeight="1" x14ac:dyDescent="0.2">
      <c r="A39" s="128" t="s">
        <v>37</v>
      </c>
      <c r="B39" s="109">
        <f>B16+B37</f>
        <v>306116</v>
      </c>
      <c r="C39" s="110">
        <f>SUM(D39:G39)</f>
        <v>53965</v>
      </c>
      <c r="D39" s="109">
        <f t="shared" ref="D39:J39" si="4">D16+D37</f>
        <v>27527</v>
      </c>
      <c r="E39" s="109">
        <f t="shared" si="4"/>
        <v>20189</v>
      </c>
      <c r="F39" s="109">
        <f t="shared" si="4"/>
        <v>4988</v>
      </c>
      <c r="G39" s="109">
        <f t="shared" si="4"/>
        <v>1261</v>
      </c>
      <c r="H39" s="136">
        <f>88246/C39</f>
        <v>1.6352450662466413</v>
      </c>
      <c r="I39" s="109">
        <f t="shared" si="4"/>
        <v>42860</v>
      </c>
      <c r="J39" s="109">
        <f t="shared" si="4"/>
        <v>11105</v>
      </c>
      <c r="K39" s="111">
        <f>+J39/C39*100</f>
        <v>20.578152506254057</v>
      </c>
    </row>
    <row r="40" spans="1:11" ht="12.6" customHeight="1" x14ac:dyDescent="0.2">
      <c r="A40" s="130" t="s">
        <v>76</v>
      </c>
      <c r="B40" s="113"/>
      <c r="C40" s="114"/>
      <c r="D40" s="114"/>
      <c r="E40" s="114"/>
      <c r="F40" s="114"/>
      <c r="G40" s="115"/>
      <c r="H40" s="114"/>
      <c r="I40" s="114"/>
      <c r="J40" s="114"/>
      <c r="K40" s="114"/>
    </row>
    <row r="41" spans="1:11" ht="12.6" customHeight="1" x14ac:dyDescent="0.2">
      <c r="A41" s="131" t="s">
        <v>93</v>
      </c>
      <c r="B41" s="122"/>
      <c r="C41" s="122"/>
      <c r="D41" s="122"/>
      <c r="E41" s="122"/>
      <c r="F41" s="122"/>
      <c r="G41" s="134"/>
      <c r="H41" s="122"/>
      <c r="I41" s="122"/>
      <c r="J41" s="122"/>
      <c r="K41" s="122"/>
    </row>
  </sheetData>
  <mergeCells count="8">
    <mergeCell ref="A6:A8"/>
    <mergeCell ref="B6:B8"/>
    <mergeCell ref="C6:K6"/>
    <mergeCell ref="C7:C8"/>
    <mergeCell ref="D7:G7"/>
    <mergeCell ref="H7:H8"/>
    <mergeCell ref="I7:I8"/>
    <mergeCell ref="J7:K7"/>
  </mergeCells>
  <phoneticPr fontId="0" type="noConversion"/>
  <pageMargins left="0.59055118110236227" right="0.59055118110236227" top="0.59055118110236227" bottom="0.59055118110236227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1">
    <pageSetUpPr fitToPage="1"/>
  </sheetPr>
  <dimension ref="A1:K41"/>
  <sheetViews>
    <sheetView workbookViewId="0">
      <selection activeCell="M1" sqref="M1:N65536"/>
    </sheetView>
  </sheetViews>
  <sheetFormatPr baseColWidth="10" defaultColWidth="9.83203125" defaultRowHeight="12.75" customHeight="1" x14ac:dyDescent="0.2"/>
  <cols>
    <col min="1" max="1" width="21.1640625" style="117" customWidth="1"/>
    <col min="2" max="2" width="10.5" style="117" customWidth="1"/>
    <col min="3" max="3" width="9.6640625" style="117" customWidth="1"/>
    <col min="4" max="4" width="9.1640625" style="117" customWidth="1"/>
    <col min="5" max="7" width="9" style="117" customWidth="1"/>
    <col min="8" max="8" width="9.1640625" style="117" customWidth="1"/>
    <col min="9" max="10" width="9" style="117" customWidth="1"/>
    <col min="11" max="11" width="11.5" style="117" bestFit="1" customWidth="1"/>
    <col min="12" max="16384" width="9.83203125" style="117"/>
  </cols>
  <sheetData>
    <row r="1" spans="1:11" ht="12.75" customHeight="1" x14ac:dyDescent="0.2">
      <c r="A1" s="49" t="s">
        <v>77</v>
      </c>
      <c r="B1" s="49"/>
      <c r="C1" s="49"/>
      <c r="D1" s="49"/>
      <c r="E1" s="49"/>
      <c r="F1" s="49"/>
      <c r="G1" s="49"/>
      <c r="H1" s="87"/>
      <c r="I1" s="87"/>
      <c r="J1" s="87"/>
      <c r="K1" s="87"/>
    </row>
    <row r="3" spans="1:11" ht="12.6" customHeight="1" x14ac:dyDescent="0.2">
      <c r="A3" s="118" t="s">
        <v>84</v>
      </c>
      <c r="B3" s="119"/>
      <c r="C3" s="119"/>
      <c r="D3" s="119"/>
      <c r="E3" s="119"/>
      <c r="F3" s="119"/>
      <c r="G3" s="119"/>
      <c r="H3" s="119"/>
      <c r="I3" s="119"/>
      <c r="J3" s="119"/>
      <c r="K3" s="119"/>
    </row>
    <row r="4" spans="1:11" ht="12.6" customHeight="1" x14ac:dyDescent="0.2">
      <c r="A4" s="120" t="s">
        <v>78</v>
      </c>
      <c r="B4" s="119"/>
      <c r="C4" s="119"/>
      <c r="D4" s="119"/>
      <c r="E4" s="119"/>
      <c r="F4" s="119"/>
      <c r="G4" s="119"/>
      <c r="H4" s="119"/>
      <c r="I4" s="119"/>
      <c r="J4" s="119"/>
      <c r="K4" s="119"/>
    </row>
    <row r="5" spans="1:11" ht="12.6" customHeight="1" x14ac:dyDescent="0.2">
      <c r="A5" s="121"/>
      <c r="B5" s="122"/>
      <c r="C5" s="122"/>
      <c r="D5" s="122"/>
      <c r="E5" s="122"/>
      <c r="F5" s="122"/>
      <c r="G5" s="122"/>
      <c r="H5" s="122"/>
      <c r="I5" s="122"/>
      <c r="J5" s="122"/>
      <c r="K5" s="122"/>
    </row>
    <row r="6" spans="1:11" ht="12.6" customHeight="1" thickBot="1" x14ac:dyDescent="0.25">
      <c r="A6" s="154" t="s">
        <v>2</v>
      </c>
      <c r="B6" s="156" t="s">
        <v>92</v>
      </c>
      <c r="C6" s="158" t="s">
        <v>74</v>
      </c>
      <c r="D6" s="158"/>
      <c r="E6" s="158"/>
      <c r="F6" s="158"/>
      <c r="G6" s="158"/>
      <c r="H6" s="158"/>
      <c r="I6" s="158"/>
      <c r="J6" s="158"/>
      <c r="K6" s="159"/>
    </row>
    <row r="7" spans="1:11" ht="12.6" customHeight="1" thickBot="1" x14ac:dyDescent="0.25">
      <c r="A7" s="155"/>
      <c r="B7" s="157"/>
      <c r="C7" s="160" t="s">
        <v>3</v>
      </c>
      <c r="D7" s="160" t="s">
        <v>4</v>
      </c>
      <c r="E7" s="160"/>
      <c r="F7" s="160"/>
      <c r="G7" s="160"/>
      <c r="H7" s="157" t="s">
        <v>75</v>
      </c>
      <c r="I7" s="160" t="s">
        <v>6</v>
      </c>
      <c r="J7" s="161" t="s">
        <v>7</v>
      </c>
      <c r="K7" s="162"/>
    </row>
    <row r="8" spans="1:11" ht="12.6" customHeight="1" thickBot="1" x14ac:dyDescent="0.25">
      <c r="A8" s="155"/>
      <c r="B8" s="157"/>
      <c r="C8" s="160"/>
      <c r="D8" s="123">
        <v>1</v>
      </c>
      <c r="E8" s="123">
        <v>2</v>
      </c>
      <c r="F8" s="123">
        <v>3</v>
      </c>
      <c r="G8" s="123" t="s">
        <v>8</v>
      </c>
      <c r="H8" s="157"/>
      <c r="I8" s="160"/>
      <c r="J8" s="123" t="s">
        <v>10</v>
      </c>
      <c r="K8" s="124" t="s">
        <v>11</v>
      </c>
    </row>
    <row r="9" spans="1:11" ht="12.6" customHeight="1" x14ac:dyDescent="0.2">
      <c r="A9" s="125"/>
      <c r="B9" s="122"/>
      <c r="C9" s="122"/>
      <c r="D9" s="122"/>
      <c r="E9" s="122"/>
      <c r="F9" s="122"/>
      <c r="G9" s="122"/>
      <c r="H9" s="122"/>
      <c r="I9" s="122"/>
      <c r="J9" s="122"/>
      <c r="K9" s="122"/>
    </row>
    <row r="10" spans="1:11" ht="12.6" customHeight="1" x14ac:dyDescent="0.2">
      <c r="A10" s="126" t="s">
        <v>12</v>
      </c>
      <c r="B10" s="99">
        <v>14142</v>
      </c>
      <c r="C10" s="99">
        <f>SUM(D10:G10)</f>
        <v>1425</v>
      </c>
      <c r="D10" s="99">
        <v>826</v>
      </c>
      <c r="E10" s="99">
        <v>461</v>
      </c>
      <c r="F10" s="99">
        <v>91</v>
      </c>
      <c r="G10" s="99">
        <v>47</v>
      </c>
      <c r="H10" s="100">
        <v>1.5684210526315789</v>
      </c>
      <c r="I10" s="99">
        <v>1068</v>
      </c>
      <c r="J10" s="99">
        <v>357</v>
      </c>
      <c r="K10" s="101">
        <f>+J10/C10*100</f>
        <v>25.05263157894737</v>
      </c>
    </row>
    <row r="11" spans="1:11" ht="12.6" customHeight="1" x14ac:dyDescent="0.2">
      <c r="A11" s="126" t="s">
        <v>13</v>
      </c>
      <c r="B11" s="99">
        <v>13535</v>
      </c>
      <c r="C11" s="99">
        <f>SUM(D11:G11)</f>
        <v>2389</v>
      </c>
      <c r="D11" s="99">
        <v>1248</v>
      </c>
      <c r="E11" s="99">
        <v>852</v>
      </c>
      <c r="F11" s="99">
        <v>229</v>
      </c>
      <c r="G11" s="99">
        <v>60</v>
      </c>
      <c r="H11" s="100">
        <v>1.6333193804939306</v>
      </c>
      <c r="I11" s="99">
        <v>1871</v>
      </c>
      <c r="J11" s="99">
        <v>518</v>
      </c>
      <c r="K11" s="101">
        <f>+J11/C11*100</f>
        <v>21.682712431979908</v>
      </c>
    </row>
    <row r="12" spans="1:11" ht="12.6" customHeight="1" x14ac:dyDescent="0.2">
      <c r="A12" s="126" t="s">
        <v>14</v>
      </c>
      <c r="B12" s="99">
        <v>25957</v>
      </c>
      <c r="C12" s="99">
        <f>SUM(D12:G12)</f>
        <v>4271</v>
      </c>
      <c r="D12" s="99">
        <v>2293</v>
      </c>
      <c r="E12" s="99">
        <v>1508</v>
      </c>
      <c r="F12" s="99">
        <v>370</v>
      </c>
      <c r="G12" s="99">
        <v>100</v>
      </c>
      <c r="H12" s="100">
        <v>1.6043081245609927</v>
      </c>
      <c r="I12" s="99">
        <v>3141</v>
      </c>
      <c r="J12" s="99">
        <v>1130</v>
      </c>
      <c r="K12" s="101">
        <f>+J12/C12*100</f>
        <v>26.457504097401074</v>
      </c>
    </row>
    <row r="13" spans="1:11" ht="12.6" customHeight="1" x14ac:dyDescent="0.2">
      <c r="A13" s="126" t="s">
        <v>15</v>
      </c>
      <c r="B13" s="99">
        <v>24902</v>
      </c>
      <c r="C13" s="99">
        <f>SUM(D13:G13)</f>
        <v>3530</v>
      </c>
      <c r="D13" s="99">
        <v>1902</v>
      </c>
      <c r="E13" s="99">
        <v>1253</v>
      </c>
      <c r="F13" s="99">
        <v>303</v>
      </c>
      <c r="G13" s="99">
        <v>72</v>
      </c>
      <c r="H13" s="100">
        <v>1.5946175637393767</v>
      </c>
      <c r="I13" s="99">
        <v>2774</v>
      </c>
      <c r="J13" s="99">
        <v>756</v>
      </c>
      <c r="K13" s="101">
        <f>+J13/C13*100</f>
        <v>21.416430594900852</v>
      </c>
    </row>
    <row r="14" spans="1:11" ht="12.6" customHeight="1" x14ac:dyDescent="0.2">
      <c r="A14" s="126" t="s">
        <v>16</v>
      </c>
      <c r="B14" s="99">
        <v>30254</v>
      </c>
      <c r="C14" s="99">
        <f>SUM(D14:G14)</f>
        <v>3848</v>
      </c>
      <c r="D14" s="99">
        <v>2176</v>
      </c>
      <c r="E14" s="99">
        <v>1300</v>
      </c>
      <c r="F14" s="99">
        <v>295</v>
      </c>
      <c r="G14" s="99">
        <v>77</v>
      </c>
      <c r="H14" s="100">
        <v>1.5550935550935552</v>
      </c>
      <c r="I14" s="99">
        <v>3007</v>
      </c>
      <c r="J14" s="99">
        <v>841</v>
      </c>
      <c r="K14" s="101">
        <f>+J14/C14*100</f>
        <v>21.855509355509355</v>
      </c>
    </row>
    <row r="15" spans="1:11" ht="3" customHeight="1" x14ac:dyDescent="0.2">
      <c r="A15" s="126"/>
      <c r="B15" s="99"/>
      <c r="C15" s="99"/>
      <c r="D15" s="99"/>
      <c r="E15" s="99"/>
      <c r="F15" s="99"/>
      <c r="G15" s="99"/>
      <c r="H15" s="100"/>
      <c r="I15" s="99"/>
      <c r="J15" s="99"/>
      <c r="K15" s="101"/>
    </row>
    <row r="16" spans="1:11" ht="12.6" customHeight="1" x14ac:dyDescent="0.2">
      <c r="A16" s="128" t="s">
        <v>17</v>
      </c>
      <c r="B16" s="99">
        <f t="shared" ref="B16:G16" si="0">SUM(B10:B14)</f>
        <v>108790</v>
      </c>
      <c r="C16" s="99">
        <f t="shared" si="0"/>
        <v>15463</v>
      </c>
      <c r="D16" s="99">
        <f t="shared" si="0"/>
        <v>8445</v>
      </c>
      <c r="E16" s="99">
        <f t="shared" si="0"/>
        <v>5374</v>
      </c>
      <c r="F16" s="99">
        <f t="shared" si="0"/>
        <v>1288</v>
      </c>
      <c r="G16" s="99">
        <f t="shared" si="0"/>
        <v>356</v>
      </c>
      <c r="H16" s="100">
        <v>1.5910237340748885</v>
      </c>
      <c r="I16" s="99">
        <f>SUM(I10:I14)</f>
        <v>11861</v>
      </c>
      <c r="J16" s="99">
        <f>SUM(J10:J14)</f>
        <v>3602</v>
      </c>
      <c r="K16" s="101">
        <f>+J16/C16*100</f>
        <v>23.294315462717456</v>
      </c>
    </row>
    <row r="17" spans="1:11" ht="3" customHeight="1" x14ac:dyDescent="0.2">
      <c r="A17" s="129"/>
      <c r="B17" s="105"/>
      <c r="C17" s="105"/>
      <c r="D17" s="105"/>
      <c r="E17" s="105"/>
      <c r="F17" s="105"/>
      <c r="G17" s="105"/>
      <c r="H17" s="106"/>
      <c r="I17" s="105"/>
      <c r="J17" s="105"/>
      <c r="K17" s="107"/>
    </row>
    <row r="18" spans="1:11" ht="12.6" customHeight="1" x14ac:dyDescent="0.2">
      <c r="A18" s="126" t="s">
        <v>18</v>
      </c>
      <c r="B18" s="99">
        <v>33685</v>
      </c>
      <c r="C18" s="99">
        <f t="shared" ref="C18:C35" si="1">SUM(D18:G18)</f>
        <v>6810</v>
      </c>
      <c r="D18" s="99">
        <v>3436</v>
      </c>
      <c r="E18" s="99">
        <v>2480</v>
      </c>
      <c r="F18" s="99">
        <v>714</v>
      </c>
      <c r="G18" s="99">
        <v>180</v>
      </c>
      <c r="H18" s="100">
        <v>1.6584434654919236</v>
      </c>
      <c r="I18" s="99">
        <v>5347</v>
      </c>
      <c r="J18" s="99">
        <v>1463</v>
      </c>
      <c r="K18" s="101">
        <f t="shared" ref="K18:K35" si="2">+J18/C18*100</f>
        <v>21.483113069016152</v>
      </c>
    </row>
    <row r="19" spans="1:11" ht="12.6" customHeight="1" x14ac:dyDescent="0.2">
      <c r="A19" s="126" t="s">
        <v>19</v>
      </c>
      <c r="B19" s="99">
        <v>3217</v>
      </c>
      <c r="C19" s="99">
        <f t="shared" si="1"/>
        <v>602</v>
      </c>
      <c r="D19" s="99">
        <v>294</v>
      </c>
      <c r="E19" s="99">
        <v>242</v>
      </c>
      <c r="F19" s="99">
        <v>55</v>
      </c>
      <c r="G19" s="99">
        <v>11</v>
      </c>
      <c r="H19" s="100">
        <v>1.6395348837209303</v>
      </c>
      <c r="I19" s="99">
        <v>486</v>
      </c>
      <c r="J19" s="99">
        <v>116</v>
      </c>
      <c r="K19" s="101">
        <f t="shared" si="2"/>
        <v>19.269102990033225</v>
      </c>
    </row>
    <row r="20" spans="1:11" ht="12.6" customHeight="1" x14ac:dyDescent="0.2">
      <c r="A20" s="126" t="s">
        <v>20</v>
      </c>
      <c r="B20" s="99">
        <v>6727</v>
      </c>
      <c r="C20" s="99">
        <f t="shared" si="1"/>
        <v>1194</v>
      </c>
      <c r="D20" s="99">
        <v>565</v>
      </c>
      <c r="E20" s="99">
        <v>490</v>
      </c>
      <c r="F20" s="99">
        <v>107</v>
      </c>
      <c r="G20" s="99">
        <v>32</v>
      </c>
      <c r="H20" s="100">
        <v>1.676716917922948</v>
      </c>
      <c r="I20" s="99">
        <v>979</v>
      </c>
      <c r="J20" s="99">
        <v>215</v>
      </c>
      <c r="K20" s="101">
        <f t="shared" si="2"/>
        <v>18.006700167504189</v>
      </c>
    </row>
    <row r="21" spans="1:11" ht="12.6" customHeight="1" x14ac:dyDescent="0.2">
      <c r="A21" s="126" t="s">
        <v>21</v>
      </c>
      <c r="B21" s="99">
        <v>8553</v>
      </c>
      <c r="C21" s="99">
        <f t="shared" si="1"/>
        <v>1539</v>
      </c>
      <c r="D21" s="99">
        <v>797</v>
      </c>
      <c r="E21" s="99">
        <v>573</v>
      </c>
      <c r="F21" s="99">
        <v>143</v>
      </c>
      <c r="G21" s="99">
        <v>26</v>
      </c>
      <c r="H21" s="100">
        <v>1.6140350877192982</v>
      </c>
      <c r="I21" s="99">
        <v>1232</v>
      </c>
      <c r="J21" s="99">
        <v>307</v>
      </c>
      <c r="K21" s="101">
        <f t="shared" si="2"/>
        <v>19.948018193632226</v>
      </c>
    </row>
    <row r="22" spans="1:11" ht="12.6" customHeight="1" x14ac:dyDescent="0.2">
      <c r="A22" s="126" t="s">
        <v>22</v>
      </c>
      <c r="B22" s="99">
        <v>14214</v>
      </c>
      <c r="C22" s="99">
        <f t="shared" si="1"/>
        <v>2649</v>
      </c>
      <c r="D22" s="99">
        <v>1284</v>
      </c>
      <c r="E22" s="99">
        <v>1025</v>
      </c>
      <c r="F22" s="99">
        <v>275</v>
      </c>
      <c r="G22" s="99">
        <v>65</v>
      </c>
      <c r="H22" s="100">
        <v>1.675349188372971</v>
      </c>
      <c r="I22" s="99">
        <v>2178</v>
      </c>
      <c r="J22" s="99">
        <v>471</v>
      </c>
      <c r="K22" s="101">
        <f t="shared" si="2"/>
        <v>17.780294450736125</v>
      </c>
    </row>
    <row r="23" spans="1:11" ht="12.6" customHeight="1" x14ac:dyDescent="0.2">
      <c r="A23" s="126" t="s">
        <v>23</v>
      </c>
      <c r="B23" s="99">
        <v>4565</v>
      </c>
      <c r="C23" s="99">
        <f t="shared" si="1"/>
        <v>895</v>
      </c>
      <c r="D23" s="99">
        <v>459</v>
      </c>
      <c r="E23" s="99">
        <v>318</v>
      </c>
      <c r="F23" s="99">
        <v>90</v>
      </c>
      <c r="G23" s="99">
        <v>28</v>
      </c>
      <c r="H23" s="100">
        <v>1.6536312849162011</v>
      </c>
      <c r="I23" s="99">
        <v>721</v>
      </c>
      <c r="J23" s="99">
        <v>174</v>
      </c>
      <c r="K23" s="101">
        <f t="shared" si="2"/>
        <v>19.441340782122904</v>
      </c>
    </row>
    <row r="24" spans="1:11" ht="12.6" customHeight="1" x14ac:dyDescent="0.2">
      <c r="A24" s="126" t="s">
        <v>24</v>
      </c>
      <c r="B24" s="99">
        <v>15096</v>
      </c>
      <c r="C24" s="99">
        <f t="shared" si="1"/>
        <v>2780</v>
      </c>
      <c r="D24" s="99">
        <v>1354</v>
      </c>
      <c r="E24" s="99">
        <v>1095</v>
      </c>
      <c r="F24" s="99">
        <v>266</v>
      </c>
      <c r="G24" s="99">
        <v>65</v>
      </c>
      <c r="H24" s="100">
        <v>1.6607913669064749</v>
      </c>
      <c r="I24" s="99">
        <v>2218</v>
      </c>
      <c r="J24" s="99">
        <v>562</v>
      </c>
      <c r="K24" s="101">
        <f t="shared" si="2"/>
        <v>20.215827338129497</v>
      </c>
    </row>
    <row r="25" spans="1:11" ht="12.6" customHeight="1" x14ac:dyDescent="0.2">
      <c r="A25" s="126" t="s">
        <v>25</v>
      </c>
      <c r="B25" s="99">
        <v>11853</v>
      </c>
      <c r="C25" s="99">
        <f t="shared" si="1"/>
        <v>2505</v>
      </c>
      <c r="D25" s="99">
        <v>1235</v>
      </c>
      <c r="E25" s="99">
        <v>963</v>
      </c>
      <c r="F25" s="99">
        <v>248</v>
      </c>
      <c r="G25" s="99">
        <v>59</v>
      </c>
      <c r="H25" s="100">
        <v>1.6562874251497006</v>
      </c>
      <c r="I25" s="99">
        <v>1983</v>
      </c>
      <c r="J25" s="99">
        <v>522</v>
      </c>
      <c r="K25" s="101">
        <f t="shared" si="2"/>
        <v>20.838323353293415</v>
      </c>
    </row>
    <row r="26" spans="1:11" ht="12.6" customHeight="1" x14ac:dyDescent="0.2">
      <c r="A26" s="126" t="s">
        <v>26</v>
      </c>
      <c r="B26" s="99">
        <v>3306</v>
      </c>
      <c r="C26" s="99">
        <f t="shared" si="1"/>
        <v>623</v>
      </c>
      <c r="D26" s="99">
        <v>336</v>
      </c>
      <c r="E26" s="99">
        <v>238</v>
      </c>
      <c r="F26" s="99">
        <v>37</v>
      </c>
      <c r="G26" s="99">
        <v>12</v>
      </c>
      <c r="H26" s="100">
        <v>1.5601926163723916</v>
      </c>
      <c r="I26" s="99">
        <v>478</v>
      </c>
      <c r="J26" s="99">
        <v>145</v>
      </c>
      <c r="K26" s="101">
        <f t="shared" si="2"/>
        <v>23.274478330658106</v>
      </c>
    </row>
    <row r="27" spans="1:11" ht="12.6" customHeight="1" x14ac:dyDescent="0.2">
      <c r="A27" s="126" t="s">
        <v>27</v>
      </c>
      <c r="B27" s="99">
        <v>4004</v>
      </c>
      <c r="C27" s="99">
        <f t="shared" si="1"/>
        <v>852</v>
      </c>
      <c r="D27" s="99">
        <v>408</v>
      </c>
      <c r="E27" s="99">
        <v>353</v>
      </c>
      <c r="F27" s="99">
        <v>73</v>
      </c>
      <c r="G27" s="99">
        <v>18</v>
      </c>
      <c r="H27" s="100">
        <v>1.6502347417840375</v>
      </c>
      <c r="I27" s="99">
        <v>671</v>
      </c>
      <c r="J27" s="99">
        <v>181</v>
      </c>
      <c r="K27" s="101">
        <f t="shared" si="2"/>
        <v>21.244131455399064</v>
      </c>
    </row>
    <row r="28" spans="1:11" ht="12.6" customHeight="1" x14ac:dyDescent="0.2">
      <c r="A28" s="126" t="s">
        <v>28</v>
      </c>
      <c r="B28" s="99">
        <v>6815</v>
      </c>
      <c r="C28" s="99">
        <f t="shared" si="1"/>
        <v>1075</v>
      </c>
      <c r="D28" s="99">
        <v>546</v>
      </c>
      <c r="E28" s="99">
        <v>416</v>
      </c>
      <c r="F28" s="99">
        <v>86</v>
      </c>
      <c r="G28" s="99">
        <v>27</v>
      </c>
      <c r="H28" s="100">
        <v>1.624186046511628</v>
      </c>
      <c r="I28" s="99">
        <v>851</v>
      </c>
      <c r="J28" s="99">
        <v>224</v>
      </c>
      <c r="K28" s="101">
        <f t="shared" si="2"/>
        <v>20.837209302325583</v>
      </c>
    </row>
    <row r="29" spans="1:11" ht="12.6" customHeight="1" x14ac:dyDescent="0.2">
      <c r="A29" s="126" t="s">
        <v>29</v>
      </c>
      <c r="B29" s="99">
        <v>11947</v>
      </c>
      <c r="C29" s="99">
        <f t="shared" si="1"/>
        <v>2285</v>
      </c>
      <c r="D29" s="99">
        <v>1109</v>
      </c>
      <c r="E29" s="99">
        <v>912</v>
      </c>
      <c r="F29" s="99">
        <v>208</v>
      </c>
      <c r="G29" s="99">
        <v>56</v>
      </c>
      <c r="H29" s="100">
        <v>1.6603938730853391</v>
      </c>
      <c r="I29" s="99">
        <v>1816</v>
      </c>
      <c r="J29" s="99">
        <v>469</v>
      </c>
      <c r="K29" s="101">
        <f t="shared" si="2"/>
        <v>20.525164113785557</v>
      </c>
    </row>
    <row r="30" spans="1:11" ht="12.6" customHeight="1" x14ac:dyDescent="0.2">
      <c r="A30" s="126" t="s">
        <v>30</v>
      </c>
      <c r="B30" s="99">
        <v>5721</v>
      </c>
      <c r="C30" s="99">
        <f t="shared" si="1"/>
        <v>1235</v>
      </c>
      <c r="D30" s="99">
        <v>632</v>
      </c>
      <c r="E30" s="99">
        <v>458</v>
      </c>
      <c r="F30" s="99">
        <v>120</v>
      </c>
      <c r="G30" s="99">
        <v>25</v>
      </c>
      <c r="H30" s="100">
        <v>1.6356275303643724</v>
      </c>
      <c r="I30" s="99">
        <v>994</v>
      </c>
      <c r="J30" s="99">
        <v>241</v>
      </c>
      <c r="K30" s="101">
        <f t="shared" si="2"/>
        <v>19.51417004048583</v>
      </c>
    </row>
    <row r="31" spans="1:11" ht="12.6" customHeight="1" x14ac:dyDescent="0.2">
      <c r="A31" s="126" t="s">
        <v>31</v>
      </c>
      <c r="B31" s="99">
        <v>8236</v>
      </c>
      <c r="C31" s="99">
        <f t="shared" si="1"/>
        <v>1600</v>
      </c>
      <c r="D31" s="99">
        <v>794</v>
      </c>
      <c r="E31" s="99">
        <v>621</v>
      </c>
      <c r="F31" s="99">
        <v>141</v>
      </c>
      <c r="G31" s="99">
        <v>44</v>
      </c>
      <c r="H31" s="100">
        <v>1.6525000000000001</v>
      </c>
      <c r="I31" s="99">
        <v>1291</v>
      </c>
      <c r="J31" s="99">
        <v>309</v>
      </c>
      <c r="K31" s="101">
        <f t="shared" si="2"/>
        <v>19.3125</v>
      </c>
    </row>
    <row r="32" spans="1:11" ht="12.6" customHeight="1" x14ac:dyDescent="0.2">
      <c r="A32" s="126" t="s">
        <v>32</v>
      </c>
      <c r="B32" s="99">
        <v>23553</v>
      </c>
      <c r="C32" s="99">
        <f t="shared" si="1"/>
        <v>4134</v>
      </c>
      <c r="D32" s="99">
        <v>2021</v>
      </c>
      <c r="E32" s="99">
        <v>1633</v>
      </c>
      <c r="F32" s="99">
        <v>391</v>
      </c>
      <c r="G32" s="99">
        <v>89</v>
      </c>
      <c r="H32" s="100">
        <v>1.6536042573778422</v>
      </c>
      <c r="I32" s="99">
        <v>3416</v>
      </c>
      <c r="J32" s="99">
        <v>718</v>
      </c>
      <c r="K32" s="101">
        <f t="shared" si="2"/>
        <v>17.368166424770198</v>
      </c>
    </row>
    <row r="33" spans="1:11" ht="12.6" customHeight="1" x14ac:dyDescent="0.2">
      <c r="A33" s="126" t="s">
        <v>33</v>
      </c>
      <c r="B33" s="99">
        <v>4511</v>
      </c>
      <c r="C33" s="99">
        <f t="shared" si="1"/>
        <v>781</v>
      </c>
      <c r="D33" s="99">
        <v>408</v>
      </c>
      <c r="E33" s="99">
        <v>282</v>
      </c>
      <c r="F33" s="99">
        <v>70</v>
      </c>
      <c r="G33" s="99">
        <v>21</v>
      </c>
      <c r="H33" s="100">
        <v>1.6440460947503202</v>
      </c>
      <c r="I33" s="99">
        <v>623</v>
      </c>
      <c r="J33" s="99">
        <v>158</v>
      </c>
      <c r="K33" s="101">
        <f t="shared" si="2"/>
        <v>20.23047375160051</v>
      </c>
    </row>
    <row r="34" spans="1:11" ht="12.6" customHeight="1" x14ac:dyDescent="0.2">
      <c r="A34" s="126" t="s">
        <v>34</v>
      </c>
      <c r="B34" s="99">
        <v>14274</v>
      </c>
      <c r="C34" s="99">
        <f t="shared" si="1"/>
        <v>3346</v>
      </c>
      <c r="D34" s="99">
        <v>1608</v>
      </c>
      <c r="E34" s="99">
        <v>1324</v>
      </c>
      <c r="F34" s="99">
        <v>332</v>
      </c>
      <c r="G34" s="99">
        <v>82</v>
      </c>
      <c r="H34" s="100">
        <v>1.6730424387328153</v>
      </c>
      <c r="I34" s="99">
        <v>2700</v>
      </c>
      <c r="J34" s="99">
        <v>646</v>
      </c>
      <c r="K34" s="101">
        <f t="shared" si="2"/>
        <v>19.306634787806338</v>
      </c>
    </row>
    <row r="35" spans="1:11" ht="12.6" customHeight="1" x14ac:dyDescent="0.2">
      <c r="A35" s="126" t="s">
        <v>35</v>
      </c>
      <c r="B35" s="99">
        <v>17301</v>
      </c>
      <c r="C35" s="99">
        <f t="shared" si="1"/>
        <v>3592</v>
      </c>
      <c r="D35" s="99">
        <v>1774</v>
      </c>
      <c r="E35" s="99">
        <v>1329</v>
      </c>
      <c r="F35" s="99">
        <v>385</v>
      </c>
      <c r="G35" s="99">
        <v>104</v>
      </c>
      <c r="H35" s="100">
        <v>1.6798440979955456</v>
      </c>
      <c r="I35" s="99">
        <v>2841</v>
      </c>
      <c r="J35" s="99">
        <v>751</v>
      </c>
      <c r="K35" s="101">
        <f t="shared" si="2"/>
        <v>20.907572383073497</v>
      </c>
    </row>
    <row r="36" spans="1:11" ht="3" customHeight="1" x14ac:dyDescent="0.2">
      <c r="A36" s="126"/>
      <c r="B36" s="99"/>
      <c r="C36" s="99"/>
      <c r="D36" s="99"/>
      <c r="E36" s="99"/>
      <c r="F36" s="99"/>
      <c r="G36" s="99"/>
      <c r="H36" s="100"/>
      <c r="I36" s="99"/>
      <c r="J36" s="99"/>
      <c r="K36" s="101"/>
    </row>
    <row r="37" spans="1:11" ht="12.6" customHeight="1" x14ac:dyDescent="0.2">
      <c r="A37" s="128" t="s">
        <v>36</v>
      </c>
      <c r="B37" s="99">
        <f t="shared" ref="B37:G37" si="3">SUM(B18:B35)</f>
        <v>197578</v>
      </c>
      <c r="C37" s="99">
        <f t="shared" si="3"/>
        <v>38497</v>
      </c>
      <c r="D37" s="99">
        <f t="shared" si="3"/>
        <v>19060</v>
      </c>
      <c r="E37" s="99">
        <f t="shared" si="3"/>
        <v>14752</v>
      </c>
      <c r="F37" s="99">
        <f t="shared" si="3"/>
        <v>3741</v>
      </c>
      <c r="G37" s="99">
        <f t="shared" si="3"/>
        <v>944</v>
      </c>
      <c r="H37" s="100">
        <v>1.6568823544691793</v>
      </c>
      <c r="I37" s="99">
        <f>SUM(I18:I35)</f>
        <v>30825</v>
      </c>
      <c r="J37" s="99">
        <f>SUM(J18:J35)</f>
        <v>7672</v>
      </c>
      <c r="K37" s="101">
        <f>+J37/C37*100</f>
        <v>19.9288256227758</v>
      </c>
    </row>
    <row r="38" spans="1:11" ht="3" customHeight="1" x14ac:dyDescent="0.2">
      <c r="A38" s="129"/>
      <c r="B38" s="105"/>
      <c r="C38" s="99"/>
      <c r="D38" s="105"/>
      <c r="E38" s="105"/>
      <c r="F38" s="105"/>
      <c r="G38" s="105"/>
      <c r="H38" s="108"/>
      <c r="I38" s="105"/>
      <c r="J38" s="105"/>
      <c r="K38" s="107"/>
    </row>
    <row r="39" spans="1:11" ht="12.6" customHeight="1" x14ac:dyDescent="0.2">
      <c r="A39" s="128" t="s">
        <v>37</v>
      </c>
      <c r="B39" s="109">
        <f>B16+B37</f>
        <v>306368</v>
      </c>
      <c r="C39" s="110">
        <f>SUM(D39:G39)</f>
        <v>53960</v>
      </c>
      <c r="D39" s="109">
        <f>D16+D37</f>
        <v>27505</v>
      </c>
      <c r="E39" s="109">
        <f>E16+E37</f>
        <v>20126</v>
      </c>
      <c r="F39" s="109">
        <f>F16+F37</f>
        <v>5029</v>
      </c>
      <c r="G39" s="109">
        <f>G16+G37</f>
        <v>1300</v>
      </c>
      <c r="H39" s="133">
        <v>1.6380096367679762</v>
      </c>
      <c r="I39" s="109">
        <f>I16+I37</f>
        <v>42686</v>
      </c>
      <c r="J39" s="109">
        <f>J16+J37</f>
        <v>11274</v>
      </c>
      <c r="K39" s="111">
        <f>+J39/C39*100</f>
        <v>20.893254262416605</v>
      </c>
    </row>
    <row r="40" spans="1:11" ht="12.6" customHeight="1" x14ac:dyDescent="0.2">
      <c r="A40" s="130" t="s">
        <v>76</v>
      </c>
      <c r="B40" s="113"/>
      <c r="C40" s="114"/>
      <c r="D40" s="114"/>
      <c r="E40" s="114"/>
      <c r="F40" s="114"/>
      <c r="G40" s="115"/>
      <c r="H40" s="114"/>
      <c r="I40" s="114"/>
      <c r="J40" s="114"/>
      <c r="K40" s="114"/>
    </row>
    <row r="41" spans="1:11" ht="12.6" customHeight="1" x14ac:dyDescent="0.2">
      <c r="A41" s="131" t="s">
        <v>93</v>
      </c>
      <c r="B41" s="122"/>
      <c r="C41" s="122"/>
      <c r="D41" s="122"/>
      <c r="E41" s="122"/>
      <c r="F41" s="122"/>
      <c r="G41" s="132"/>
      <c r="H41" s="122"/>
      <c r="I41" s="122"/>
      <c r="J41" s="122"/>
      <c r="K41" s="122"/>
    </row>
  </sheetData>
  <mergeCells count="8">
    <mergeCell ref="A6:A8"/>
    <mergeCell ref="B6:B8"/>
    <mergeCell ref="C6:K6"/>
    <mergeCell ref="C7:C8"/>
    <mergeCell ref="D7:G7"/>
    <mergeCell ref="H7:H8"/>
    <mergeCell ref="I7:I8"/>
    <mergeCell ref="J7:K7"/>
  </mergeCells>
  <phoneticPr fontId="0" type="noConversion"/>
  <pageMargins left="0.59055118110236227" right="0.59055118110236227" top="0.59055118110236227" bottom="0.59055118110236227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2">
    <pageSetUpPr fitToPage="1"/>
  </sheetPr>
  <dimension ref="A1:L64"/>
  <sheetViews>
    <sheetView workbookViewId="0">
      <selection activeCell="O3" sqref="O3"/>
    </sheetView>
  </sheetViews>
  <sheetFormatPr baseColWidth="10" defaultColWidth="9.83203125" defaultRowHeight="12.75" customHeight="1" x14ac:dyDescent="0.2"/>
  <cols>
    <col min="1" max="1" width="21.1640625" style="117" customWidth="1"/>
    <col min="2" max="2" width="10.5" style="117" customWidth="1"/>
    <col min="3" max="3" width="9.6640625" style="117" customWidth="1"/>
    <col min="4" max="4" width="9.1640625" style="117" customWidth="1"/>
    <col min="5" max="7" width="9" style="117" customWidth="1"/>
    <col min="8" max="8" width="9.1640625" style="117" customWidth="1"/>
    <col min="9" max="10" width="9" style="117" customWidth="1"/>
    <col min="11" max="11" width="11.5" style="117" bestFit="1" customWidth="1"/>
    <col min="12" max="16384" width="9.83203125" style="117"/>
  </cols>
  <sheetData>
    <row r="1" spans="1:12" ht="12.75" customHeight="1" x14ac:dyDescent="0.2">
      <c r="A1" s="49" t="s">
        <v>77</v>
      </c>
      <c r="B1" s="49"/>
      <c r="C1" s="49"/>
      <c r="D1" s="49"/>
      <c r="E1" s="49"/>
      <c r="F1" s="49"/>
      <c r="G1" s="49"/>
      <c r="H1" s="87"/>
      <c r="I1" s="87"/>
      <c r="J1" s="87"/>
      <c r="K1" s="87"/>
    </row>
    <row r="3" spans="1:12" ht="12.6" customHeight="1" x14ac:dyDescent="0.2">
      <c r="A3" s="118" t="s">
        <v>83</v>
      </c>
      <c r="B3" s="119"/>
      <c r="C3" s="119"/>
      <c r="D3" s="119"/>
      <c r="E3" s="119"/>
      <c r="F3" s="119"/>
      <c r="G3" s="119"/>
      <c r="H3" s="119"/>
      <c r="I3" s="119"/>
      <c r="J3" s="119"/>
      <c r="K3" s="119"/>
    </row>
    <row r="4" spans="1:12" ht="12.6" customHeight="1" x14ac:dyDescent="0.2">
      <c r="A4" s="120" t="s">
        <v>78</v>
      </c>
      <c r="B4" s="119"/>
      <c r="C4" s="119"/>
      <c r="D4" s="119"/>
      <c r="E4" s="119"/>
      <c r="F4" s="119"/>
      <c r="G4" s="119"/>
      <c r="H4" s="119"/>
      <c r="I4" s="119"/>
      <c r="J4" s="119"/>
      <c r="K4" s="119"/>
    </row>
    <row r="5" spans="1:12" ht="12.6" customHeight="1" x14ac:dyDescent="0.2">
      <c r="A5" s="121"/>
      <c r="B5" s="122"/>
      <c r="C5" s="122"/>
      <c r="D5" s="122"/>
      <c r="E5" s="122"/>
      <c r="F5" s="122"/>
      <c r="G5" s="122"/>
      <c r="H5" s="122"/>
      <c r="I5" s="122"/>
      <c r="J5" s="122"/>
      <c r="K5" s="122"/>
    </row>
    <row r="6" spans="1:12" ht="12.6" customHeight="1" thickBot="1" x14ac:dyDescent="0.25">
      <c r="A6" s="154" t="s">
        <v>2</v>
      </c>
      <c r="B6" s="156" t="s">
        <v>92</v>
      </c>
      <c r="C6" s="158" t="s">
        <v>74</v>
      </c>
      <c r="D6" s="158"/>
      <c r="E6" s="158"/>
      <c r="F6" s="158"/>
      <c r="G6" s="158"/>
      <c r="H6" s="158"/>
      <c r="I6" s="158"/>
      <c r="J6" s="158"/>
      <c r="K6" s="159"/>
    </row>
    <row r="7" spans="1:12" ht="12.6" customHeight="1" thickBot="1" x14ac:dyDescent="0.25">
      <c r="A7" s="155"/>
      <c r="B7" s="157"/>
      <c r="C7" s="160" t="s">
        <v>3</v>
      </c>
      <c r="D7" s="160" t="s">
        <v>4</v>
      </c>
      <c r="E7" s="160"/>
      <c r="F7" s="160"/>
      <c r="G7" s="160"/>
      <c r="H7" s="157" t="s">
        <v>75</v>
      </c>
      <c r="I7" s="160" t="s">
        <v>6</v>
      </c>
      <c r="J7" s="161" t="s">
        <v>7</v>
      </c>
      <c r="K7" s="162"/>
    </row>
    <row r="8" spans="1:12" ht="12.6" customHeight="1" thickBot="1" x14ac:dyDescent="0.25">
      <c r="A8" s="155"/>
      <c r="B8" s="157"/>
      <c r="C8" s="160"/>
      <c r="D8" s="123">
        <v>1</v>
      </c>
      <c r="E8" s="123">
        <v>2</v>
      </c>
      <c r="F8" s="123">
        <v>3</v>
      </c>
      <c r="G8" s="123" t="s">
        <v>8</v>
      </c>
      <c r="H8" s="157"/>
      <c r="I8" s="160"/>
      <c r="J8" s="123" t="s">
        <v>10</v>
      </c>
      <c r="K8" s="124" t="s">
        <v>11</v>
      </c>
    </row>
    <row r="9" spans="1:12" ht="12.6" customHeight="1" x14ac:dyDescent="0.2">
      <c r="A9" s="125"/>
      <c r="B9" s="122"/>
      <c r="C9" s="122"/>
      <c r="D9" s="122"/>
      <c r="E9" s="122"/>
      <c r="F9" s="122"/>
      <c r="G9" s="122"/>
      <c r="H9" s="122"/>
      <c r="I9" s="122"/>
      <c r="J9" s="122"/>
      <c r="K9" s="122"/>
    </row>
    <row r="10" spans="1:12" ht="12.6" customHeight="1" x14ac:dyDescent="0.2">
      <c r="A10" s="126" t="s">
        <v>12</v>
      </c>
      <c r="B10" s="99">
        <v>13885</v>
      </c>
      <c r="C10" s="99">
        <f>SUM(D10:G10)</f>
        <v>1412</v>
      </c>
      <c r="D10" s="99">
        <v>814</v>
      </c>
      <c r="E10" s="99">
        <v>457</v>
      </c>
      <c r="F10" s="99">
        <v>100</v>
      </c>
      <c r="G10" s="99">
        <v>41</v>
      </c>
      <c r="H10" s="100">
        <f>2228/C10</f>
        <v>1.5779036827195467</v>
      </c>
      <c r="I10" s="99">
        <v>1074</v>
      </c>
      <c r="J10" s="99">
        <v>338</v>
      </c>
      <c r="K10" s="101">
        <f>+J10/C10*100</f>
        <v>23.937677053824363</v>
      </c>
    </row>
    <row r="11" spans="1:12" ht="12.6" customHeight="1" x14ac:dyDescent="0.2">
      <c r="A11" s="126" t="s">
        <v>13</v>
      </c>
      <c r="B11" s="99">
        <v>13562</v>
      </c>
      <c r="C11" s="99">
        <f>SUM(D11:G11)</f>
        <v>2395</v>
      </c>
      <c r="D11" s="99">
        <v>1258</v>
      </c>
      <c r="E11" s="99">
        <v>834</v>
      </c>
      <c r="F11" s="99">
        <v>247</v>
      </c>
      <c r="G11" s="99">
        <v>56</v>
      </c>
      <c r="H11" s="100">
        <f>3917/C11</f>
        <v>1.635490605427975</v>
      </c>
      <c r="I11" s="99">
        <v>1880</v>
      </c>
      <c r="J11" s="99">
        <v>515</v>
      </c>
      <c r="K11" s="101">
        <f>+J11/C11*100</f>
        <v>21.503131524008349</v>
      </c>
      <c r="L11" s="127"/>
    </row>
    <row r="12" spans="1:12" ht="12.6" customHeight="1" x14ac:dyDescent="0.2">
      <c r="A12" s="126" t="s">
        <v>14</v>
      </c>
      <c r="B12" s="99">
        <v>25890</v>
      </c>
      <c r="C12" s="99">
        <f>SUM(D12:G12)</f>
        <v>4327</v>
      </c>
      <c r="D12" s="99">
        <v>2362</v>
      </c>
      <c r="E12" s="99">
        <v>1469</v>
      </c>
      <c r="F12" s="99">
        <v>397</v>
      </c>
      <c r="G12" s="99">
        <v>99</v>
      </c>
      <c r="H12" s="100">
        <f>6920/C12</f>
        <v>1.599260457591865</v>
      </c>
      <c r="I12" s="99">
        <v>3165</v>
      </c>
      <c r="J12" s="99">
        <v>1162</v>
      </c>
      <c r="K12" s="101">
        <f>+J12/C12*100</f>
        <v>26.85463369540097</v>
      </c>
      <c r="L12" s="127"/>
    </row>
    <row r="13" spans="1:12" ht="12.6" customHeight="1" x14ac:dyDescent="0.2">
      <c r="A13" s="126" t="s">
        <v>15</v>
      </c>
      <c r="B13" s="99">
        <v>24620</v>
      </c>
      <c r="C13" s="99">
        <f>SUM(D13:G13)</f>
        <v>3532</v>
      </c>
      <c r="D13" s="99">
        <v>1904</v>
      </c>
      <c r="E13" s="99">
        <v>1266</v>
      </c>
      <c r="F13" s="99">
        <v>287</v>
      </c>
      <c r="G13" s="99">
        <v>75</v>
      </c>
      <c r="H13" s="100">
        <f>5622/C13</f>
        <v>1.5917327293318233</v>
      </c>
      <c r="I13" s="99">
        <v>2754</v>
      </c>
      <c r="J13" s="99">
        <v>778</v>
      </c>
      <c r="K13" s="101">
        <f>+J13/C13*100</f>
        <v>22.027180067950169</v>
      </c>
      <c r="L13" s="127"/>
    </row>
    <row r="14" spans="1:12" ht="12.6" customHeight="1" x14ac:dyDescent="0.2">
      <c r="A14" s="126" t="s">
        <v>16</v>
      </c>
      <c r="B14" s="99">
        <v>30101</v>
      </c>
      <c r="C14" s="99">
        <f>SUM(D14:G14)</f>
        <v>3898</v>
      </c>
      <c r="D14" s="99">
        <v>2192</v>
      </c>
      <c r="E14" s="99">
        <v>1314</v>
      </c>
      <c r="F14" s="99">
        <v>317</v>
      </c>
      <c r="G14" s="99">
        <v>75</v>
      </c>
      <c r="H14" s="100">
        <f>6082/C14</f>
        <v>1.5602873268342741</v>
      </c>
      <c r="I14" s="99">
        <v>3021</v>
      </c>
      <c r="J14" s="99">
        <v>877</v>
      </c>
      <c r="K14" s="101">
        <f>+J14/C14*100</f>
        <v>22.498717290918417</v>
      </c>
      <c r="L14" s="127"/>
    </row>
    <row r="15" spans="1:12" ht="3" customHeight="1" x14ac:dyDescent="0.2">
      <c r="A15" s="126"/>
      <c r="B15" s="99"/>
      <c r="C15" s="99"/>
      <c r="D15" s="99"/>
      <c r="E15" s="99"/>
      <c r="F15" s="99"/>
      <c r="G15" s="99"/>
      <c r="H15" s="100"/>
      <c r="I15" s="99"/>
      <c r="J15" s="99"/>
      <c r="K15" s="101"/>
      <c r="L15" s="127"/>
    </row>
    <row r="16" spans="1:12" ht="12.6" customHeight="1" x14ac:dyDescent="0.2">
      <c r="A16" s="128" t="s">
        <v>17</v>
      </c>
      <c r="B16" s="99">
        <f t="shared" ref="B16:G16" si="0">SUM(B10:B14)</f>
        <v>108058</v>
      </c>
      <c r="C16" s="99">
        <f t="shared" si="0"/>
        <v>15564</v>
      </c>
      <c r="D16" s="99">
        <f t="shared" si="0"/>
        <v>8530</v>
      </c>
      <c r="E16" s="99">
        <f t="shared" si="0"/>
        <v>5340</v>
      </c>
      <c r="F16" s="99">
        <f t="shared" si="0"/>
        <v>1348</v>
      </c>
      <c r="G16" s="99">
        <f t="shared" si="0"/>
        <v>346</v>
      </c>
      <c r="H16" s="100">
        <f>24769/C16</f>
        <v>1.5914289385762015</v>
      </c>
      <c r="I16" s="99">
        <f>SUM(I10:I14)</f>
        <v>11894</v>
      </c>
      <c r="J16" s="99">
        <f>SUM(J10:J14)</f>
        <v>3670</v>
      </c>
      <c r="K16" s="101">
        <f>+J16/C16*100</f>
        <v>23.580056540735029</v>
      </c>
      <c r="L16" s="127"/>
    </row>
    <row r="17" spans="1:12" ht="3" customHeight="1" x14ac:dyDescent="0.2">
      <c r="A17" s="129"/>
      <c r="B17" s="105"/>
      <c r="C17" s="105"/>
      <c r="D17" s="105"/>
      <c r="E17" s="105"/>
      <c r="F17" s="105"/>
      <c r="G17" s="105"/>
      <c r="H17" s="106"/>
      <c r="I17" s="105"/>
      <c r="J17" s="105"/>
      <c r="K17" s="107"/>
    </row>
    <row r="18" spans="1:12" ht="12.6" customHeight="1" x14ac:dyDescent="0.2">
      <c r="A18" s="126" t="s">
        <v>18</v>
      </c>
      <c r="B18" s="99">
        <v>33388</v>
      </c>
      <c r="C18" s="99">
        <f t="shared" ref="C18:C35" si="1">SUM(D18:G18)</f>
        <v>6801</v>
      </c>
      <c r="D18" s="99">
        <v>3418</v>
      </c>
      <c r="E18" s="99">
        <v>2478</v>
      </c>
      <c r="F18" s="99">
        <v>723</v>
      </c>
      <c r="G18" s="99">
        <v>182</v>
      </c>
      <c r="H18" s="100">
        <f>11315/C18</f>
        <v>1.6637259226584327</v>
      </c>
      <c r="I18" s="99">
        <v>5344</v>
      </c>
      <c r="J18" s="99">
        <v>1457</v>
      </c>
      <c r="K18" s="101">
        <f t="shared" ref="K18:K35" si="2">+J18/C18*100</f>
        <v>21.423320099985297</v>
      </c>
    </row>
    <row r="19" spans="1:12" ht="12.6" customHeight="1" x14ac:dyDescent="0.2">
      <c r="A19" s="126" t="s">
        <v>19</v>
      </c>
      <c r="B19" s="99">
        <v>3214</v>
      </c>
      <c r="C19" s="99">
        <f t="shared" si="1"/>
        <v>592</v>
      </c>
      <c r="D19" s="99">
        <v>278</v>
      </c>
      <c r="E19" s="99">
        <v>242</v>
      </c>
      <c r="F19" s="99">
        <v>59</v>
      </c>
      <c r="G19" s="99">
        <v>13</v>
      </c>
      <c r="H19" s="100">
        <f>994/C19</f>
        <v>1.6790540540540539</v>
      </c>
      <c r="I19" s="99">
        <v>475</v>
      </c>
      <c r="J19" s="99">
        <v>117</v>
      </c>
      <c r="K19" s="101">
        <f t="shared" si="2"/>
        <v>19.763513513513516</v>
      </c>
      <c r="L19" s="127"/>
    </row>
    <row r="20" spans="1:12" ht="12.6" customHeight="1" x14ac:dyDescent="0.2">
      <c r="A20" s="126" t="s">
        <v>20</v>
      </c>
      <c r="B20" s="99">
        <v>6715</v>
      </c>
      <c r="C20" s="99">
        <f t="shared" si="1"/>
        <v>1223</v>
      </c>
      <c r="D20" s="99">
        <v>603</v>
      </c>
      <c r="E20" s="99">
        <v>463</v>
      </c>
      <c r="F20" s="99">
        <v>119</v>
      </c>
      <c r="G20" s="99">
        <v>38</v>
      </c>
      <c r="H20" s="100">
        <f>2049/C20</f>
        <v>1.6753883892068684</v>
      </c>
      <c r="I20" s="99">
        <v>996</v>
      </c>
      <c r="J20" s="99">
        <v>227</v>
      </c>
      <c r="K20" s="101">
        <f t="shared" si="2"/>
        <v>18.560915780866722</v>
      </c>
      <c r="L20" s="127"/>
    </row>
    <row r="21" spans="1:12" ht="12.6" customHeight="1" x14ac:dyDescent="0.2">
      <c r="A21" s="126" t="s">
        <v>21</v>
      </c>
      <c r="B21" s="99">
        <v>8635</v>
      </c>
      <c r="C21" s="99">
        <f t="shared" si="1"/>
        <v>1550</v>
      </c>
      <c r="D21" s="99">
        <v>786</v>
      </c>
      <c r="E21" s="99">
        <v>591</v>
      </c>
      <c r="F21" s="99">
        <v>141</v>
      </c>
      <c r="G21" s="99">
        <v>32</v>
      </c>
      <c r="H21" s="100">
        <f>2533/C21</f>
        <v>1.6341935483870969</v>
      </c>
      <c r="I21" s="99">
        <v>1232</v>
      </c>
      <c r="J21" s="99">
        <v>318</v>
      </c>
      <c r="K21" s="101">
        <f t="shared" si="2"/>
        <v>20.516129032258064</v>
      </c>
      <c r="L21" s="127"/>
    </row>
    <row r="22" spans="1:12" ht="12.6" customHeight="1" x14ac:dyDescent="0.2">
      <c r="A22" s="126" t="s">
        <v>22</v>
      </c>
      <c r="B22" s="99">
        <v>14155</v>
      </c>
      <c r="C22" s="99">
        <f t="shared" si="1"/>
        <v>2630</v>
      </c>
      <c r="D22" s="99">
        <v>1274</v>
      </c>
      <c r="E22" s="99">
        <v>1032</v>
      </c>
      <c r="F22" s="99">
        <v>260</v>
      </c>
      <c r="G22" s="99">
        <v>64</v>
      </c>
      <c r="H22" s="100">
        <f>4397/C22</f>
        <v>1.6718631178707224</v>
      </c>
      <c r="I22" s="99">
        <v>2162</v>
      </c>
      <c r="J22" s="99">
        <v>468</v>
      </c>
      <c r="K22" s="101">
        <f t="shared" si="2"/>
        <v>17.79467680608365</v>
      </c>
      <c r="L22" s="127"/>
    </row>
    <row r="23" spans="1:12" ht="12.6" customHeight="1" x14ac:dyDescent="0.2">
      <c r="A23" s="126" t="s">
        <v>23</v>
      </c>
      <c r="B23" s="99">
        <v>4520</v>
      </c>
      <c r="C23" s="99">
        <f t="shared" si="1"/>
        <v>912</v>
      </c>
      <c r="D23" s="99">
        <v>472</v>
      </c>
      <c r="E23" s="99">
        <v>314</v>
      </c>
      <c r="F23" s="99">
        <v>93</v>
      </c>
      <c r="G23" s="99">
        <v>33</v>
      </c>
      <c r="H23" s="100">
        <f>1518/C23</f>
        <v>1.6644736842105263</v>
      </c>
      <c r="I23" s="99">
        <v>733</v>
      </c>
      <c r="J23" s="99">
        <v>179</v>
      </c>
      <c r="K23" s="101">
        <f t="shared" si="2"/>
        <v>19.62719298245614</v>
      </c>
      <c r="L23" s="127"/>
    </row>
    <row r="24" spans="1:12" ht="12.6" customHeight="1" x14ac:dyDescent="0.2">
      <c r="A24" s="126" t="s">
        <v>24</v>
      </c>
      <c r="B24" s="99">
        <v>15006</v>
      </c>
      <c r="C24" s="99">
        <f t="shared" si="1"/>
        <v>2806</v>
      </c>
      <c r="D24" s="99">
        <v>1346</v>
      </c>
      <c r="E24" s="99">
        <v>1111</v>
      </c>
      <c r="F24" s="99">
        <v>280</v>
      </c>
      <c r="G24" s="99">
        <v>69</v>
      </c>
      <c r="H24" s="100">
        <f>4703/C24</f>
        <v>1.6760513186029935</v>
      </c>
      <c r="I24" s="99">
        <v>2238</v>
      </c>
      <c r="J24" s="99">
        <v>568</v>
      </c>
      <c r="K24" s="101">
        <f t="shared" si="2"/>
        <v>20.242337847469706</v>
      </c>
      <c r="L24" s="127"/>
    </row>
    <row r="25" spans="1:12" ht="12.6" customHeight="1" x14ac:dyDescent="0.2">
      <c r="A25" s="126" t="s">
        <v>25</v>
      </c>
      <c r="B25" s="99">
        <v>11753</v>
      </c>
      <c r="C25" s="99">
        <f t="shared" si="1"/>
        <v>2512</v>
      </c>
      <c r="D25" s="99">
        <v>1247</v>
      </c>
      <c r="E25" s="99">
        <v>949</v>
      </c>
      <c r="F25" s="99">
        <v>256</v>
      </c>
      <c r="G25" s="99">
        <v>60</v>
      </c>
      <c r="H25" s="100">
        <f>4166/C25</f>
        <v>1.6584394904458599</v>
      </c>
      <c r="I25" s="99">
        <v>2016</v>
      </c>
      <c r="J25" s="99">
        <v>496</v>
      </c>
      <c r="K25" s="101">
        <f t="shared" si="2"/>
        <v>19.745222929936308</v>
      </c>
      <c r="L25" s="127"/>
    </row>
    <row r="26" spans="1:12" ht="12.6" customHeight="1" x14ac:dyDescent="0.2">
      <c r="A26" s="126" t="s">
        <v>26</v>
      </c>
      <c r="B26" s="99">
        <v>3283</v>
      </c>
      <c r="C26" s="99">
        <f t="shared" si="1"/>
        <v>627</v>
      </c>
      <c r="D26" s="99">
        <v>338</v>
      </c>
      <c r="E26" s="99">
        <v>245</v>
      </c>
      <c r="F26" s="99">
        <v>31</v>
      </c>
      <c r="G26" s="99">
        <v>13</v>
      </c>
      <c r="H26" s="100">
        <f>974/C26</f>
        <v>1.5534290271132376</v>
      </c>
      <c r="I26" s="99">
        <v>483</v>
      </c>
      <c r="J26" s="99">
        <v>144</v>
      </c>
      <c r="K26" s="101">
        <f t="shared" si="2"/>
        <v>22.966507177033492</v>
      </c>
      <c r="L26" s="127"/>
    </row>
    <row r="27" spans="1:12" ht="12.6" customHeight="1" x14ac:dyDescent="0.2">
      <c r="A27" s="126" t="s">
        <v>27</v>
      </c>
      <c r="B27" s="99">
        <v>3969</v>
      </c>
      <c r="C27" s="99">
        <f t="shared" si="1"/>
        <v>844</v>
      </c>
      <c r="D27" s="99">
        <v>408</v>
      </c>
      <c r="E27" s="99">
        <v>351</v>
      </c>
      <c r="F27" s="99">
        <v>71</v>
      </c>
      <c r="G27" s="99">
        <v>14</v>
      </c>
      <c r="H27" s="100">
        <f>1383/C27</f>
        <v>1.6386255924170616</v>
      </c>
      <c r="I27" s="99">
        <v>670</v>
      </c>
      <c r="J27" s="99">
        <v>174</v>
      </c>
      <c r="K27" s="101">
        <f t="shared" si="2"/>
        <v>20.616113744075829</v>
      </c>
      <c r="L27" s="127"/>
    </row>
    <row r="28" spans="1:12" ht="12.6" customHeight="1" x14ac:dyDescent="0.2">
      <c r="A28" s="126" t="s">
        <v>28</v>
      </c>
      <c r="B28" s="99">
        <v>6742</v>
      </c>
      <c r="C28" s="99">
        <f t="shared" si="1"/>
        <v>1072</v>
      </c>
      <c r="D28" s="99">
        <v>541</v>
      </c>
      <c r="E28" s="99">
        <v>412</v>
      </c>
      <c r="F28" s="99">
        <v>91</v>
      </c>
      <c r="G28" s="99">
        <v>28</v>
      </c>
      <c r="H28" s="100">
        <f>1753/C28</f>
        <v>1.6352611940298507</v>
      </c>
      <c r="I28" s="99">
        <v>854</v>
      </c>
      <c r="J28" s="99">
        <v>218</v>
      </c>
      <c r="K28" s="101">
        <f t="shared" si="2"/>
        <v>20.335820895522389</v>
      </c>
      <c r="L28" s="127"/>
    </row>
    <row r="29" spans="1:12" ht="12.6" customHeight="1" x14ac:dyDescent="0.2">
      <c r="A29" s="126" t="s">
        <v>29</v>
      </c>
      <c r="B29" s="99">
        <v>11472</v>
      </c>
      <c r="C29" s="99">
        <f t="shared" si="1"/>
        <v>2262</v>
      </c>
      <c r="D29" s="99">
        <v>1119</v>
      </c>
      <c r="E29" s="99">
        <v>878</v>
      </c>
      <c r="F29" s="99">
        <v>211</v>
      </c>
      <c r="G29" s="99">
        <v>54</v>
      </c>
      <c r="H29" s="100">
        <f>3738/C29</f>
        <v>1.6525198938992043</v>
      </c>
      <c r="I29" s="99">
        <v>1791</v>
      </c>
      <c r="J29" s="99">
        <v>471</v>
      </c>
      <c r="K29" s="101">
        <f t="shared" si="2"/>
        <v>20.822281167108752</v>
      </c>
      <c r="L29" s="127"/>
    </row>
    <row r="30" spans="1:12" ht="12.6" customHeight="1" x14ac:dyDescent="0.2">
      <c r="A30" s="126" t="s">
        <v>30</v>
      </c>
      <c r="B30" s="99">
        <v>5655</v>
      </c>
      <c r="C30" s="99">
        <f t="shared" si="1"/>
        <v>1249</v>
      </c>
      <c r="D30" s="99">
        <v>626</v>
      </c>
      <c r="E30" s="99">
        <v>466</v>
      </c>
      <c r="F30" s="99">
        <v>131</v>
      </c>
      <c r="G30" s="99">
        <v>26</v>
      </c>
      <c r="H30" s="100">
        <f>2067/C30</f>
        <v>1.6549239391513211</v>
      </c>
      <c r="I30" s="99">
        <v>1023</v>
      </c>
      <c r="J30" s="99">
        <v>226</v>
      </c>
      <c r="K30" s="101">
        <f t="shared" si="2"/>
        <v>18.094475580464373</v>
      </c>
      <c r="L30" s="127"/>
    </row>
    <row r="31" spans="1:12" ht="12.6" customHeight="1" x14ac:dyDescent="0.2">
      <c r="A31" s="126" t="s">
        <v>31</v>
      </c>
      <c r="B31" s="99">
        <v>8132</v>
      </c>
      <c r="C31" s="99">
        <f t="shared" si="1"/>
        <v>1609</v>
      </c>
      <c r="D31" s="99">
        <v>800</v>
      </c>
      <c r="E31" s="99">
        <v>619</v>
      </c>
      <c r="F31" s="99">
        <v>146</v>
      </c>
      <c r="G31" s="99">
        <v>44</v>
      </c>
      <c r="H31" s="100">
        <f>2661/C31</f>
        <v>1.653822249844624</v>
      </c>
      <c r="I31" s="99">
        <v>1315</v>
      </c>
      <c r="J31" s="99">
        <v>294</v>
      </c>
      <c r="K31" s="101">
        <f t="shared" si="2"/>
        <v>18.272218769422004</v>
      </c>
      <c r="L31" s="127"/>
    </row>
    <row r="32" spans="1:12" ht="12.6" customHeight="1" x14ac:dyDescent="0.2">
      <c r="A32" s="126" t="s">
        <v>32</v>
      </c>
      <c r="B32" s="99">
        <v>23356</v>
      </c>
      <c r="C32" s="99">
        <f t="shared" si="1"/>
        <v>4101</v>
      </c>
      <c r="D32" s="99">
        <v>1973</v>
      </c>
      <c r="E32" s="99">
        <v>1649</v>
      </c>
      <c r="F32" s="99">
        <v>387</v>
      </c>
      <c r="G32" s="99">
        <v>92</v>
      </c>
      <c r="H32" s="100">
        <f>6820/C32</f>
        <v>1.6630090221897098</v>
      </c>
      <c r="I32" s="99">
        <v>3391</v>
      </c>
      <c r="J32" s="99">
        <v>710</v>
      </c>
      <c r="K32" s="101">
        <f t="shared" si="2"/>
        <v>17.312850524262373</v>
      </c>
      <c r="L32" s="127"/>
    </row>
    <row r="33" spans="1:12" ht="12.6" customHeight="1" x14ac:dyDescent="0.2">
      <c r="A33" s="126" t="s">
        <v>33</v>
      </c>
      <c r="B33" s="99">
        <v>4541</v>
      </c>
      <c r="C33" s="99">
        <f t="shared" si="1"/>
        <v>806</v>
      </c>
      <c r="D33" s="99">
        <v>436</v>
      </c>
      <c r="E33" s="99">
        <v>284</v>
      </c>
      <c r="F33" s="99">
        <v>70</v>
      </c>
      <c r="G33" s="99">
        <v>16</v>
      </c>
      <c r="H33" s="100">
        <f>1296/C33</f>
        <v>1.6079404466501241</v>
      </c>
      <c r="I33" s="99">
        <v>639</v>
      </c>
      <c r="J33" s="99">
        <v>167</v>
      </c>
      <c r="K33" s="101">
        <f t="shared" si="2"/>
        <v>20.719602977667495</v>
      </c>
      <c r="L33" s="127"/>
    </row>
    <row r="34" spans="1:12" ht="12.6" customHeight="1" x14ac:dyDescent="0.2">
      <c r="A34" s="126" t="s">
        <v>34</v>
      </c>
      <c r="B34" s="99">
        <v>14252</v>
      </c>
      <c r="C34" s="99">
        <f t="shared" si="1"/>
        <v>3314</v>
      </c>
      <c r="D34" s="99">
        <v>1558</v>
      </c>
      <c r="E34" s="99">
        <v>1336</v>
      </c>
      <c r="F34" s="99">
        <v>329</v>
      </c>
      <c r="G34" s="99">
        <v>91</v>
      </c>
      <c r="H34" s="100">
        <f>5597/C34</f>
        <v>1.6888955944477972</v>
      </c>
      <c r="I34" s="99">
        <v>2686</v>
      </c>
      <c r="J34" s="99">
        <v>628</v>
      </c>
      <c r="K34" s="101">
        <f t="shared" si="2"/>
        <v>18.949909474954737</v>
      </c>
      <c r="L34" s="127"/>
    </row>
    <row r="35" spans="1:12" ht="12.6" customHeight="1" x14ac:dyDescent="0.2">
      <c r="A35" s="126" t="s">
        <v>35</v>
      </c>
      <c r="B35" s="99">
        <v>17413</v>
      </c>
      <c r="C35" s="99">
        <f t="shared" si="1"/>
        <v>3619</v>
      </c>
      <c r="D35" s="99">
        <v>1791</v>
      </c>
      <c r="E35" s="99">
        <v>1337</v>
      </c>
      <c r="F35" s="99">
        <v>384</v>
      </c>
      <c r="G35" s="99">
        <v>107</v>
      </c>
      <c r="H35" s="100">
        <f>6067/C35</f>
        <v>1.6764299530256976</v>
      </c>
      <c r="I35" s="99">
        <v>2859</v>
      </c>
      <c r="J35" s="99">
        <v>760</v>
      </c>
      <c r="K35" s="101">
        <f t="shared" si="2"/>
        <v>21.000276319425257</v>
      </c>
      <c r="L35" s="127"/>
    </row>
    <row r="36" spans="1:12" ht="3" customHeight="1" x14ac:dyDescent="0.2">
      <c r="A36" s="126"/>
      <c r="B36" s="99"/>
      <c r="C36" s="99"/>
      <c r="D36" s="99"/>
      <c r="E36" s="99"/>
      <c r="F36" s="99"/>
      <c r="G36" s="99"/>
      <c r="H36" s="100"/>
      <c r="I36" s="99"/>
      <c r="J36" s="99"/>
      <c r="K36" s="101"/>
      <c r="L36" s="127"/>
    </row>
    <row r="37" spans="1:12" ht="12.6" customHeight="1" x14ac:dyDescent="0.2">
      <c r="A37" s="128" t="s">
        <v>36</v>
      </c>
      <c r="B37" s="99">
        <f t="shared" ref="B37:G37" si="3">SUM(B18:B35)</f>
        <v>196201</v>
      </c>
      <c r="C37" s="99">
        <f t="shared" si="3"/>
        <v>38529</v>
      </c>
      <c r="D37" s="99">
        <f t="shared" si="3"/>
        <v>19014</v>
      </c>
      <c r="E37" s="99">
        <f t="shared" si="3"/>
        <v>14757</v>
      </c>
      <c r="F37" s="99">
        <f t="shared" si="3"/>
        <v>3782</v>
      </c>
      <c r="G37" s="99">
        <f t="shared" si="3"/>
        <v>976</v>
      </c>
      <c r="H37" s="100">
        <f>64031/C37</f>
        <v>1.6618910431103844</v>
      </c>
      <c r="I37" s="99">
        <f>SUM(I18:I35)</f>
        <v>30907</v>
      </c>
      <c r="J37" s="99">
        <f>SUM(J18:J35)</f>
        <v>7622</v>
      </c>
      <c r="K37" s="101">
        <f>+J37/C37*100</f>
        <v>19.782501492382362</v>
      </c>
      <c r="L37" s="127"/>
    </row>
    <row r="38" spans="1:12" ht="3" customHeight="1" x14ac:dyDescent="0.2">
      <c r="A38" s="129"/>
      <c r="B38" s="105"/>
      <c r="C38" s="99"/>
      <c r="D38" s="105"/>
      <c r="E38" s="105"/>
      <c r="F38" s="105"/>
      <c r="G38" s="105"/>
      <c r="H38" s="108"/>
      <c r="I38" s="105"/>
      <c r="J38" s="105"/>
      <c r="K38" s="107"/>
    </row>
    <row r="39" spans="1:12" ht="12.6" customHeight="1" x14ac:dyDescent="0.2">
      <c r="A39" s="128" t="s">
        <v>37</v>
      </c>
      <c r="B39" s="109">
        <f>B16+B37</f>
        <v>304259</v>
      </c>
      <c r="C39" s="110">
        <f>SUM(D39:G39)</f>
        <v>54093</v>
      </c>
      <c r="D39" s="109">
        <f>D16+D37</f>
        <v>27544</v>
      </c>
      <c r="E39" s="109">
        <f>E16+E37</f>
        <v>20097</v>
      </c>
      <c r="F39" s="109">
        <f>F16+F37</f>
        <v>5130</v>
      </c>
      <c r="G39" s="109">
        <f>G16+G37</f>
        <v>1322</v>
      </c>
      <c r="H39" s="133">
        <f>88800/C39</f>
        <v>1.6416172147967389</v>
      </c>
      <c r="I39" s="109">
        <f>I16+I37</f>
        <v>42801</v>
      </c>
      <c r="J39" s="109">
        <f>J16+J37</f>
        <v>11292</v>
      </c>
      <c r="K39" s="111">
        <f>+J39/C39*100</f>
        <v>20.875159447617992</v>
      </c>
    </row>
    <row r="40" spans="1:12" ht="12.6" customHeight="1" x14ac:dyDescent="0.2">
      <c r="A40" s="130" t="s">
        <v>76</v>
      </c>
      <c r="B40" s="113"/>
      <c r="C40" s="114"/>
      <c r="D40" s="114"/>
      <c r="E40" s="114"/>
      <c r="F40" s="114"/>
      <c r="G40" s="115"/>
      <c r="H40" s="114"/>
      <c r="I40" s="114"/>
      <c r="J40" s="114"/>
      <c r="K40" s="114"/>
      <c r="L40" s="99"/>
    </row>
    <row r="41" spans="1:12" ht="12.6" customHeight="1" x14ac:dyDescent="0.2">
      <c r="A41" s="131" t="s">
        <v>93</v>
      </c>
      <c r="B41" s="122"/>
      <c r="C41" s="122"/>
      <c r="D41" s="122"/>
      <c r="E41" s="122"/>
      <c r="F41" s="122"/>
      <c r="G41" s="132"/>
      <c r="H41" s="122"/>
      <c r="I41" s="122"/>
      <c r="J41" s="122"/>
      <c r="K41" s="122"/>
    </row>
    <row r="42" spans="1:12" ht="12" customHeight="1" x14ac:dyDescent="0.2"/>
    <row r="43" spans="1:12" ht="12" customHeight="1" x14ac:dyDescent="0.2"/>
    <row r="44" spans="1:12" ht="12" customHeight="1" x14ac:dyDescent="0.2"/>
    <row r="45" spans="1:12" ht="12" customHeight="1" x14ac:dyDescent="0.2"/>
    <row r="46" spans="1:12" ht="12" customHeight="1" x14ac:dyDescent="0.2"/>
    <row r="47" spans="1:12" ht="12" customHeight="1" x14ac:dyDescent="0.2"/>
    <row r="48" spans="1:12" ht="12" customHeight="1" x14ac:dyDescent="0.2"/>
    <row r="49" ht="11.25" x14ac:dyDescent="0.2"/>
    <row r="50" ht="11.25" x14ac:dyDescent="0.2"/>
    <row r="51" ht="11.25" x14ac:dyDescent="0.2"/>
    <row r="52" ht="11.25" x14ac:dyDescent="0.2"/>
    <row r="53" ht="11.25" x14ac:dyDescent="0.2"/>
    <row r="54" ht="11.25" x14ac:dyDescent="0.2"/>
    <row r="55" ht="11.25" x14ac:dyDescent="0.2"/>
    <row r="56" ht="11.25" x14ac:dyDescent="0.2"/>
    <row r="57" ht="11.25" x14ac:dyDescent="0.2"/>
    <row r="58" ht="11.25" x14ac:dyDescent="0.2"/>
    <row r="59" ht="11.25" x14ac:dyDescent="0.2"/>
    <row r="60" ht="11.25" x14ac:dyDescent="0.2"/>
    <row r="61" ht="11.25" x14ac:dyDescent="0.2"/>
    <row r="62" ht="11.25" x14ac:dyDescent="0.2"/>
    <row r="63" ht="11.25" x14ac:dyDescent="0.2"/>
    <row r="64" ht="11.25" x14ac:dyDescent="0.2"/>
  </sheetData>
  <mergeCells count="8">
    <mergeCell ref="A6:A8"/>
    <mergeCell ref="B6:B8"/>
    <mergeCell ref="C6:K6"/>
    <mergeCell ref="C7:C8"/>
    <mergeCell ref="D7:G7"/>
    <mergeCell ref="H7:H8"/>
    <mergeCell ref="I7:I8"/>
    <mergeCell ref="J7:K7"/>
  </mergeCells>
  <phoneticPr fontId="0" type="noConversion"/>
  <pageMargins left="0.59055118110236227" right="0.59055118110236227" top="0.59055118110236227" bottom="0.59055118110236227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>
    <pageSetUpPr fitToPage="1"/>
  </sheetPr>
  <dimension ref="A1:L65"/>
  <sheetViews>
    <sheetView workbookViewId="0">
      <selection activeCell="N10" sqref="N10"/>
    </sheetView>
  </sheetViews>
  <sheetFormatPr baseColWidth="10" defaultColWidth="9.83203125" defaultRowHeight="12.75" customHeight="1" x14ac:dyDescent="0.2"/>
  <cols>
    <col min="1" max="1" width="21.1640625" style="117" customWidth="1"/>
    <col min="2" max="2" width="10.5" style="117" customWidth="1"/>
    <col min="3" max="3" width="9.6640625" style="117" customWidth="1"/>
    <col min="4" max="4" width="9.1640625" style="117" customWidth="1"/>
    <col min="5" max="7" width="9" style="117" customWidth="1"/>
    <col min="8" max="8" width="9.1640625" style="117" customWidth="1"/>
    <col min="9" max="10" width="9" style="117" customWidth="1"/>
    <col min="11" max="11" width="11.5" style="117" bestFit="1" customWidth="1"/>
    <col min="12" max="16384" width="9.83203125" style="117"/>
  </cols>
  <sheetData>
    <row r="1" spans="1:12" ht="12.75" customHeight="1" x14ac:dyDescent="0.2">
      <c r="A1" s="49" t="s">
        <v>77</v>
      </c>
      <c r="B1" s="49"/>
      <c r="C1" s="49"/>
      <c r="D1" s="49"/>
      <c r="E1" s="49"/>
      <c r="F1" s="49"/>
      <c r="G1" s="49"/>
      <c r="H1" s="87"/>
      <c r="I1" s="87"/>
      <c r="J1" s="87"/>
      <c r="K1" s="87"/>
    </row>
    <row r="3" spans="1:12" ht="12.6" customHeight="1" x14ac:dyDescent="0.2">
      <c r="A3" s="118" t="s">
        <v>82</v>
      </c>
      <c r="B3" s="119"/>
      <c r="C3" s="119"/>
      <c r="D3" s="119"/>
      <c r="E3" s="119"/>
      <c r="F3" s="119"/>
      <c r="G3" s="119"/>
      <c r="H3" s="119"/>
      <c r="I3" s="119"/>
      <c r="J3" s="119"/>
      <c r="K3" s="119"/>
    </row>
    <row r="4" spans="1:12" ht="12.6" customHeight="1" x14ac:dyDescent="0.2">
      <c r="A4" s="120" t="s">
        <v>78</v>
      </c>
      <c r="B4" s="119"/>
      <c r="C4" s="119"/>
      <c r="D4" s="119"/>
      <c r="E4" s="119"/>
      <c r="F4" s="119"/>
      <c r="G4" s="119"/>
      <c r="H4" s="119"/>
      <c r="I4" s="119"/>
      <c r="J4" s="119"/>
      <c r="K4" s="119"/>
    </row>
    <row r="5" spans="1:12" ht="12.6" customHeight="1" x14ac:dyDescent="0.2">
      <c r="A5" s="121"/>
      <c r="B5" s="122"/>
      <c r="C5" s="122"/>
      <c r="D5" s="122"/>
      <c r="E5" s="122"/>
      <c r="F5" s="122"/>
      <c r="G5" s="122"/>
      <c r="H5" s="122"/>
      <c r="I5" s="122"/>
      <c r="J5" s="122"/>
      <c r="K5" s="122"/>
    </row>
    <row r="6" spans="1:12" ht="12.6" customHeight="1" thickBot="1" x14ac:dyDescent="0.25">
      <c r="A6" s="154" t="s">
        <v>2</v>
      </c>
      <c r="B6" s="156" t="s">
        <v>92</v>
      </c>
      <c r="C6" s="158" t="s">
        <v>74</v>
      </c>
      <c r="D6" s="158"/>
      <c r="E6" s="158"/>
      <c r="F6" s="158"/>
      <c r="G6" s="158"/>
      <c r="H6" s="158"/>
      <c r="I6" s="158"/>
      <c r="J6" s="158"/>
      <c r="K6" s="159"/>
    </row>
    <row r="7" spans="1:12" ht="12.6" customHeight="1" thickBot="1" x14ac:dyDescent="0.25">
      <c r="A7" s="155"/>
      <c r="B7" s="157"/>
      <c r="C7" s="160" t="s">
        <v>3</v>
      </c>
      <c r="D7" s="160" t="s">
        <v>4</v>
      </c>
      <c r="E7" s="160"/>
      <c r="F7" s="160"/>
      <c r="G7" s="160"/>
      <c r="H7" s="157" t="s">
        <v>75</v>
      </c>
      <c r="I7" s="160" t="s">
        <v>6</v>
      </c>
      <c r="J7" s="161" t="s">
        <v>7</v>
      </c>
      <c r="K7" s="162"/>
    </row>
    <row r="8" spans="1:12" ht="12.6" customHeight="1" thickBot="1" x14ac:dyDescent="0.25">
      <c r="A8" s="155"/>
      <c r="B8" s="157"/>
      <c r="C8" s="160"/>
      <c r="D8" s="123">
        <v>1</v>
      </c>
      <c r="E8" s="123">
        <v>2</v>
      </c>
      <c r="F8" s="123">
        <v>3</v>
      </c>
      <c r="G8" s="123" t="s">
        <v>8</v>
      </c>
      <c r="H8" s="157"/>
      <c r="I8" s="160"/>
      <c r="J8" s="123" t="s">
        <v>10</v>
      </c>
      <c r="K8" s="124" t="s">
        <v>11</v>
      </c>
    </row>
    <row r="9" spans="1:12" ht="12.6" customHeight="1" x14ac:dyDescent="0.2">
      <c r="A9" s="125"/>
      <c r="B9" s="122"/>
      <c r="C9" s="122"/>
      <c r="D9" s="122"/>
      <c r="E9" s="122"/>
      <c r="F9" s="122"/>
      <c r="G9" s="122"/>
      <c r="H9" s="122"/>
      <c r="I9" s="122"/>
      <c r="J9" s="122"/>
      <c r="K9" s="122"/>
    </row>
    <row r="10" spans="1:12" ht="12.6" customHeight="1" x14ac:dyDescent="0.2">
      <c r="A10" s="126" t="s">
        <v>12</v>
      </c>
      <c r="B10" s="99">
        <v>14005</v>
      </c>
      <c r="C10" s="99">
        <f>SUM(D10:G10)</f>
        <v>1465</v>
      </c>
      <c r="D10" s="99">
        <v>825</v>
      </c>
      <c r="E10" s="99">
        <v>480</v>
      </c>
      <c r="F10" s="99">
        <v>111</v>
      </c>
      <c r="G10" s="99">
        <v>49</v>
      </c>
      <c r="H10" s="100">
        <f>2351/C10</f>
        <v>1.6047781569965871</v>
      </c>
      <c r="I10" s="99">
        <v>1061</v>
      </c>
      <c r="J10" s="99">
        <v>404</v>
      </c>
      <c r="K10" s="101">
        <f t="shared" ref="K10:K39" si="0">+J10/C10*100</f>
        <v>27.576791808873718</v>
      </c>
    </row>
    <row r="11" spans="1:12" ht="12.6" customHeight="1" x14ac:dyDescent="0.2">
      <c r="A11" s="126" t="s">
        <v>13</v>
      </c>
      <c r="B11" s="99">
        <v>13553</v>
      </c>
      <c r="C11" s="99">
        <f>SUM(D11:G11)</f>
        <v>2384</v>
      </c>
      <c r="D11" s="99">
        <v>1244</v>
      </c>
      <c r="E11" s="99">
        <v>826</v>
      </c>
      <c r="F11" s="99">
        <v>252</v>
      </c>
      <c r="G11" s="99">
        <v>62</v>
      </c>
      <c r="H11" s="100">
        <f>3922/C11</f>
        <v>1.6451342281879195</v>
      </c>
      <c r="I11" s="99">
        <v>1804</v>
      </c>
      <c r="J11" s="99">
        <v>580</v>
      </c>
      <c r="K11" s="101">
        <f t="shared" si="0"/>
        <v>24.328859060402685</v>
      </c>
      <c r="L11" s="127"/>
    </row>
    <row r="12" spans="1:12" ht="12.6" customHeight="1" x14ac:dyDescent="0.2">
      <c r="A12" s="126" t="s">
        <v>14</v>
      </c>
      <c r="B12" s="99">
        <v>25806</v>
      </c>
      <c r="C12" s="99">
        <f>SUM(D12:G12)</f>
        <v>4307</v>
      </c>
      <c r="D12" s="99">
        <v>2338</v>
      </c>
      <c r="E12" s="99">
        <v>1489</v>
      </c>
      <c r="F12" s="99">
        <v>382</v>
      </c>
      <c r="G12" s="99">
        <v>98</v>
      </c>
      <c r="H12" s="100">
        <f>6887/C12</f>
        <v>1.599024843278384</v>
      </c>
      <c r="I12" s="99">
        <v>3085</v>
      </c>
      <c r="J12" s="99">
        <v>1222</v>
      </c>
      <c r="K12" s="101">
        <f t="shared" si="0"/>
        <v>28.37241699558858</v>
      </c>
      <c r="L12" s="127"/>
    </row>
    <row r="13" spans="1:12" ht="12.6" customHeight="1" x14ac:dyDescent="0.2">
      <c r="A13" s="126" t="s">
        <v>15</v>
      </c>
      <c r="B13" s="99">
        <v>24679</v>
      </c>
      <c r="C13" s="99">
        <f>SUM(D13:G13)</f>
        <v>3612</v>
      </c>
      <c r="D13" s="99">
        <v>1956</v>
      </c>
      <c r="E13" s="99">
        <v>1277</v>
      </c>
      <c r="F13" s="99">
        <v>307</v>
      </c>
      <c r="G13" s="99">
        <v>72</v>
      </c>
      <c r="H13" s="100">
        <f>5743/C13</f>
        <v>1.5899778516057586</v>
      </c>
      <c r="I13" s="99">
        <v>2717</v>
      </c>
      <c r="J13" s="99">
        <v>895</v>
      </c>
      <c r="K13" s="101">
        <f t="shared" si="0"/>
        <v>24.778516057585826</v>
      </c>
      <c r="L13" s="127"/>
    </row>
    <row r="14" spans="1:12" ht="12.6" customHeight="1" x14ac:dyDescent="0.2">
      <c r="A14" s="126" t="s">
        <v>16</v>
      </c>
      <c r="B14" s="99">
        <v>29990</v>
      </c>
      <c r="C14" s="99">
        <f>SUM(D14:G14)</f>
        <v>3875</v>
      </c>
      <c r="D14" s="99">
        <v>2219</v>
      </c>
      <c r="E14" s="99">
        <v>1292</v>
      </c>
      <c r="F14" s="99">
        <v>296</v>
      </c>
      <c r="G14" s="99">
        <v>68</v>
      </c>
      <c r="H14" s="100">
        <f>5978/C14</f>
        <v>1.5427096774193549</v>
      </c>
      <c r="I14" s="99">
        <v>2894</v>
      </c>
      <c r="J14" s="99">
        <v>981</v>
      </c>
      <c r="K14" s="101">
        <f t="shared" si="0"/>
        <v>25.316129032258068</v>
      </c>
      <c r="L14" s="127"/>
    </row>
    <row r="15" spans="1:12" ht="3" customHeight="1" x14ac:dyDescent="0.2">
      <c r="A15" s="126"/>
      <c r="B15" s="99"/>
      <c r="C15" s="99"/>
      <c r="D15" s="99"/>
      <c r="E15" s="99"/>
      <c r="F15" s="99"/>
      <c r="G15" s="99"/>
      <c r="H15" s="100"/>
      <c r="I15" s="99"/>
      <c r="J15" s="99"/>
      <c r="K15" s="101"/>
      <c r="L15" s="127"/>
    </row>
    <row r="16" spans="1:12" ht="12.6" customHeight="1" x14ac:dyDescent="0.2">
      <c r="A16" s="128" t="s">
        <v>17</v>
      </c>
      <c r="B16" s="99">
        <f t="shared" ref="B16:G16" si="1">SUM(B10:B14)</f>
        <v>108033</v>
      </c>
      <c r="C16" s="99">
        <f t="shared" si="1"/>
        <v>15643</v>
      </c>
      <c r="D16" s="99">
        <f t="shared" si="1"/>
        <v>8582</v>
      </c>
      <c r="E16" s="99">
        <f t="shared" si="1"/>
        <v>5364</v>
      </c>
      <c r="F16" s="99">
        <f t="shared" si="1"/>
        <v>1348</v>
      </c>
      <c r="G16" s="99">
        <f t="shared" si="1"/>
        <v>349</v>
      </c>
      <c r="H16" s="100">
        <f>24881/C16</f>
        <v>1.5905516844595027</v>
      </c>
      <c r="I16" s="99">
        <f>SUM(I10:I14)</f>
        <v>11561</v>
      </c>
      <c r="J16" s="99">
        <f>SUM(J10:J14)</f>
        <v>4082</v>
      </c>
      <c r="K16" s="101">
        <f t="shared" si="0"/>
        <v>26.094738860832322</v>
      </c>
      <c r="L16" s="127"/>
    </row>
    <row r="17" spans="1:12" ht="3" customHeight="1" x14ac:dyDescent="0.2">
      <c r="A17" s="129"/>
      <c r="B17" s="105"/>
      <c r="C17" s="105"/>
      <c r="D17" s="105"/>
      <c r="E17" s="105"/>
      <c r="F17" s="105"/>
      <c r="G17" s="105"/>
      <c r="H17" s="106"/>
      <c r="I17" s="105"/>
      <c r="J17" s="105"/>
      <c r="K17" s="107"/>
    </row>
    <row r="18" spans="1:12" ht="12.6" customHeight="1" x14ac:dyDescent="0.2">
      <c r="A18" s="126" t="s">
        <v>18</v>
      </c>
      <c r="B18" s="99">
        <v>33384</v>
      </c>
      <c r="C18" s="99">
        <f t="shared" ref="C18:C39" si="2">SUM(D18:G18)</f>
        <v>6903</v>
      </c>
      <c r="D18" s="99">
        <v>3483</v>
      </c>
      <c r="E18" s="99">
        <v>2492</v>
      </c>
      <c r="F18" s="99">
        <v>757</v>
      </c>
      <c r="G18" s="99">
        <v>171</v>
      </c>
      <c r="H18" s="100">
        <f>11471/C18</f>
        <v>1.6617412719107634</v>
      </c>
      <c r="I18" s="99">
        <v>5375</v>
      </c>
      <c r="J18" s="99">
        <v>1528</v>
      </c>
      <c r="K18" s="101">
        <f t="shared" si="0"/>
        <v>22.135303491235696</v>
      </c>
    </row>
    <row r="19" spans="1:12" ht="12.6" customHeight="1" x14ac:dyDescent="0.2">
      <c r="A19" s="126" t="s">
        <v>19</v>
      </c>
      <c r="B19" s="99">
        <v>3197</v>
      </c>
      <c r="C19" s="99">
        <f t="shared" si="2"/>
        <v>607</v>
      </c>
      <c r="D19" s="99">
        <v>285</v>
      </c>
      <c r="E19" s="99">
        <v>243</v>
      </c>
      <c r="F19" s="99">
        <v>65</v>
      </c>
      <c r="G19" s="99">
        <v>14</v>
      </c>
      <c r="H19" s="100">
        <f>1025/C19</f>
        <v>1.6886326194398682</v>
      </c>
      <c r="I19" s="99">
        <v>480</v>
      </c>
      <c r="J19" s="99">
        <v>127</v>
      </c>
      <c r="K19" s="101">
        <f t="shared" si="0"/>
        <v>20.922570016474467</v>
      </c>
      <c r="L19" s="127"/>
    </row>
    <row r="20" spans="1:12" ht="12.6" customHeight="1" x14ac:dyDescent="0.2">
      <c r="A20" s="126" t="s">
        <v>20</v>
      </c>
      <c r="B20" s="99">
        <v>6759</v>
      </c>
      <c r="C20" s="99">
        <f t="shared" si="2"/>
        <v>1228</v>
      </c>
      <c r="D20" s="99">
        <v>611</v>
      </c>
      <c r="E20" s="99">
        <v>473</v>
      </c>
      <c r="F20" s="99">
        <v>112</v>
      </c>
      <c r="G20" s="99">
        <v>32</v>
      </c>
      <c r="H20" s="100">
        <f>2027/C20</f>
        <v>1.6506514657980456</v>
      </c>
      <c r="I20" s="99">
        <v>983</v>
      </c>
      <c r="J20" s="99">
        <v>245</v>
      </c>
      <c r="K20" s="101">
        <f t="shared" si="0"/>
        <v>19.951140065146582</v>
      </c>
      <c r="L20" s="127"/>
    </row>
    <row r="21" spans="1:12" ht="12.6" customHeight="1" x14ac:dyDescent="0.2">
      <c r="A21" s="126" t="s">
        <v>21</v>
      </c>
      <c r="B21" s="99">
        <v>8713</v>
      </c>
      <c r="C21" s="99">
        <f t="shared" si="2"/>
        <v>1569</v>
      </c>
      <c r="D21" s="99">
        <v>800</v>
      </c>
      <c r="E21" s="99">
        <v>603</v>
      </c>
      <c r="F21" s="99">
        <v>135</v>
      </c>
      <c r="G21" s="99">
        <v>31</v>
      </c>
      <c r="H21" s="100">
        <f>2550/C21</f>
        <v>1.6252390057361377</v>
      </c>
      <c r="I21" s="99">
        <v>1239</v>
      </c>
      <c r="J21" s="99">
        <v>330</v>
      </c>
      <c r="K21" s="101">
        <f t="shared" si="0"/>
        <v>21.032504780114721</v>
      </c>
      <c r="L21" s="127"/>
    </row>
    <row r="22" spans="1:12" ht="12.6" customHeight="1" x14ac:dyDescent="0.2">
      <c r="A22" s="126" t="s">
        <v>22</v>
      </c>
      <c r="B22" s="99">
        <v>14160</v>
      </c>
      <c r="C22" s="99">
        <f t="shared" si="2"/>
        <v>2626</v>
      </c>
      <c r="D22" s="99">
        <v>1308</v>
      </c>
      <c r="E22" s="99">
        <v>1004</v>
      </c>
      <c r="F22" s="99">
        <v>240</v>
      </c>
      <c r="G22" s="99">
        <v>74</v>
      </c>
      <c r="H22" s="100">
        <f>4356/C22</f>
        <v>1.6587966488956587</v>
      </c>
      <c r="I22" s="99">
        <v>2123</v>
      </c>
      <c r="J22" s="99">
        <v>503</v>
      </c>
      <c r="K22" s="101">
        <f t="shared" si="0"/>
        <v>19.154607768469152</v>
      </c>
      <c r="L22" s="127"/>
    </row>
    <row r="23" spans="1:12" ht="12.6" customHeight="1" x14ac:dyDescent="0.2">
      <c r="A23" s="126" t="s">
        <v>23</v>
      </c>
      <c r="B23" s="99">
        <v>4527</v>
      </c>
      <c r="C23" s="99">
        <f t="shared" si="2"/>
        <v>917</v>
      </c>
      <c r="D23" s="99">
        <v>474</v>
      </c>
      <c r="E23" s="99">
        <v>317</v>
      </c>
      <c r="F23" s="99">
        <v>98</v>
      </c>
      <c r="G23" s="99">
        <v>28</v>
      </c>
      <c r="H23" s="100">
        <f>1521/C23</f>
        <v>1.658669574700109</v>
      </c>
      <c r="I23" s="99">
        <v>740</v>
      </c>
      <c r="J23" s="99">
        <v>177</v>
      </c>
      <c r="K23" s="101">
        <f t="shared" si="0"/>
        <v>19.302071973827701</v>
      </c>
      <c r="L23" s="127"/>
    </row>
    <row r="24" spans="1:12" ht="12.6" customHeight="1" x14ac:dyDescent="0.2">
      <c r="A24" s="126" t="s">
        <v>24</v>
      </c>
      <c r="B24" s="99">
        <v>14737</v>
      </c>
      <c r="C24" s="99">
        <f t="shared" si="2"/>
        <v>2795</v>
      </c>
      <c r="D24" s="99">
        <v>1362</v>
      </c>
      <c r="E24" s="99">
        <v>1100</v>
      </c>
      <c r="F24" s="99">
        <v>267</v>
      </c>
      <c r="G24" s="99">
        <v>66</v>
      </c>
      <c r="H24" s="100">
        <f>4652/C24</f>
        <v>1.6644007155635063</v>
      </c>
      <c r="I24" s="99">
        <v>2185</v>
      </c>
      <c r="J24" s="99">
        <v>610</v>
      </c>
      <c r="K24" s="101">
        <f t="shared" si="0"/>
        <v>21.824686940966011</v>
      </c>
      <c r="L24" s="127"/>
    </row>
    <row r="25" spans="1:12" ht="12.6" customHeight="1" x14ac:dyDescent="0.2">
      <c r="A25" s="126" t="s">
        <v>25</v>
      </c>
      <c r="B25" s="99">
        <v>11861</v>
      </c>
      <c r="C25" s="99">
        <f t="shared" si="2"/>
        <v>2563</v>
      </c>
      <c r="D25" s="99">
        <v>1279</v>
      </c>
      <c r="E25" s="99">
        <v>957</v>
      </c>
      <c r="F25" s="99">
        <v>255</v>
      </c>
      <c r="G25" s="99">
        <v>72</v>
      </c>
      <c r="H25" s="100">
        <f>4263/C25</f>
        <v>1.6632852126414359</v>
      </c>
      <c r="I25" s="99">
        <v>2008</v>
      </c>
      <c r="J25" s="99">
        <v>555</v>
      </c>
      <c r="K25" s="101">
        <f t="shared" si="0"/>
        <v>21.654311353882168</v>
      </c>
      <c r="L25" s="127"/>
    </row>
    <row r="26" spans="1:12" ht="12.6" customHeight="1" x14ac:dyDescent="0.2">
      <c r="A26" s="126" t="s">
        <v>26</v>
      </c>
      <c r="B26" s="99">
        <v>3277</v>
      </c>
      <c r="C26" s="99">
        <f t="shared" si="2"/>
        <v>640</v>
      </c>
      <c r="D26" s="99">
        <v>348</v>
      </c>
      <c r="E26" s="99">
        <v>240</v>
      </c>
      <c r="F26" s="99">
        <v>39</v>
      </c>
      <c r="G26" s="99">
        <v>13</v>
      </c>
      <c r="H26" s="100">
        <f>997/C26</f>
        <v>1.5578125</v>
      </c>
      <c r="I26" s="99">
        <v>490</v>
      </c>
      <c r="J26" s="99">
        <v>150</v>
      </c>
      <c r="K26" s="101">
        <f t="shared" si="0"/>
        <v>23.4375</v>
      </c>
      <c r="L26" s="127"/>
    </row>
    <row r="27" spans="1:12" ht="12.6" customHeight="1" x14ac:dyDescent="0.2">
      <c r="A27" s="126" t="s">
        <v>27</v>
      </c>
      <c r="B27" s="99">
        <v>4012</v>
      </c>
      <c r="C27" s="99">
        <f t="shared" si="2"/>
        <v>851</v>
      </c>
      <c r="D27" s="99">
        <v>421</v>
      </c>
      <c r="E27" s="99">
        <v>349</v>
      </c>
      <c r="F27" s="99">
        <v>69</v>
      </c>
      <c r="G27" s="99">
        <v>12</v>
      </c>
      <c r="H27" s="100">
        <f>1377/C27</f>
        <v>1.6180963572267919</v>
      </c>
      <c r="I27" s="99">
        <v>663</v>
      </c>
      <c r="J27" s="99">
        <v>188</v>
      </c>
      <c r="K27" s="101">
        <f t="shared" si="0"/>
        <v>22.091656874265571</v>
      </c>
      <c r="L27" s="127"/>
    </row>
    <row r="28" spans="1:12" ht="12.6" customHeight="1" x14ac:dyDescent="0.2">
      <c r="A28" s="126" t="s">
        <v>28</v>
      </c>
      <c r="B28" s="99">
        <v>6744</v>
      </c>
      <c r="C28" s="99">
        <f t="shared" si="2"/>
        <v>1083</v>
      </c>
      <c r="D28" s="99">
        <v>529</v>
      </c>
      <c r="E28" s="99">
        <v>438</v>
      </c>
      <c r="F28" s="99">
        <v>93</v>
      </c>
      <c r="G28" s="99">
        <v>23</v>
      </c>
      <c r="H28" s="100">
        <f>1780/C28</f>
        <v>1.6435826408125578</v>
      </c>
      <c r="I28" s="99">
        <v>849</v>
      </c>
      <c r="J28" s="99">
        <v>234</v>
      </c>
      <c r="K28" s="101">
        <f t="shared" si="0"/>
        <v>21.606648199445981</v>
      </c>
      <c r="L28" s="127"/>
    </row>
    <row r="29" spans="1:12" ht="12.6" customHeight="1" x14ac:dyDescent="0.2">
      <c r="A29" s="126" t="s">
        <v>29</v>
      </c>
      <c r="B29" s="99">
        <v>11476</v>
      </c>
      <c r="C29" s="99">
        <f t="shared" si="2"/>
        <v>2248</v>
      </c>
      <c r="D29" s="99">
        <v>1087</v>
      </c>
      <c r="E29" s="99">
        <v>886</v>
      </c>
      <c r="F29" s="99">
        <v>220</v>
      </c>
      <c r="G29" s="99">
        <v>55</v>
      </c>
      <c r="H29" s="100">
        <f>3750/C29</f>
        <v>1.6681494661921707</v>
      </c>
      <c r="I29" s="99">
        <v>1764</v>
      </c>
      <c r="J29" s="99">
        <v>484</v>
      </c>
      <c r="K29" s="101">
        <f t="shared" si="0"/>
        <v>21.530249110320284</v>
      </c>
      <c r="L29" s="127"/>
    </row>
    <row r="30" spans="1:12" ht="12.6" customHeight="1" x14ac:dyDescent="0.2">
      <c r="A30" s="126" t="s">
        <v>30</v>
      </c>
      <c r="B30" s="99">
        <v>5693</v>
      </c>
      <c r="C30" s="99">
        <f t="shared" si="2"/>
        <v>1292</v>
      </c>
      <c r="D30" s="99">
        <v>654</v>
      </c>
      <c r="E30" s="99">
        <v>470</v>
      </c>
      <c r="F30" s="99">
        <v>142</v>
      </c>
      <c r="G30" s="99">
        <v>26</v>
      </c>
      <c r="H30" s="100">
        <f>2140/C30</f>
        <v>1.6563467492260062</v>
      </c>
      <c r="I30" s="99">
        <v>1052</v>
      </c>
      <c r="J30" s="99">
        <v>240</v>
      </c>
      <c r="K30" s="101">
        <f t="shared" si="0"/>
        <v>18.575851393188856</v>
      </c>
      <c r="L30" s="127"/>
    </row>
    <row r="31" spans="1:12" ht="12.6" customHeight="1" x14ac:dyDescent="0.2">
      <c r="A31" s="126" t="s">
        <v>31</v>
      </c>
      <c r="B31" s="99">
        <v>8150</v>
      </c>
      <c r="C31" s="99">
        <f t="shared" si="2"/>
        <v>1632</v>
      </c>
      <c r="D31" s="99">
        <v>797</v>
      </c>
      <c r="E31" s="99">
        <v>633</v>
      </c>
      <c r="F31" s="99">
        <v>164</v>
      </c>
      <c r="G31" s="99">
        <v>38</v>
      </c>
      <c r="H31" s="100">
        <f>2716/C31</f>
        <v>1.6642156862745099</v>
      </c>
      <c r="I31" s="99">
        <v>1309</v>
      </c>
      <c r="J31" s="99">
        <v>323</v>
      </c>
      <c r="K31" s="101">
        <f t="shared" si="0"/>
        <v>19.791666666666664</v>
      </c>
      <c r="L31" s="127"/>
    </row>
    <row r="32" spans="1:12" ht="12.6" customHeight="1" x14ac:dyDescent="0.2">
      <c r="A32" s="126" t="s">
        <v>32</v>
      </c>
      <c r="B32" s="99">
        <v>23135</v>
      </c>
      <c r="C32" s="99">
        <f t="shared" si="2"/>
        <v>4061</v>
      </c>
      <c r="D32" s="99">
        <v>1946</v>
      </c>
      <c r="E32" s="99">
        <v>1653</v>
      </c>
      <c r="F32" s="99">
        <v>366</v>
      </c>
      <c r="G32" s="99">
        <v>96</v>
      </c>
      <c r="H32" s="100">
        <f>6760/C32</f>
        <v>1.6646146269391775</v>
      </c>
      <c r="I32" s="99">
        <v>3283</v>
      </c>
      <c r="J32" s="99">
        <v>778</v>
      </c>
      <c r="K32" s="101">
        <f t="shared" si="0"/>
        <v>19.157842895838463</v>
      </c>
      <c r="L32" s="127"/>
    </row>
    <row r="33" spans="1:12" ht="12.6" customHeight="1" x14ac:dyDescent="0.2">
      <c r="A33" s="126" t="s">
        <v>33</v>
      </c>
      <c r="B33" s="99">
        <v>4532</v>
      </c>
      <c r="C33" s="99">
        <f t="shared" si="2"/>
        <v>807</v>
      </c>
      <c r="D33" s="99">
        <v>435</v>
      </c>
      <c r="E33" s="99">
        <v>295</v>
      </c>
      <c r="F33" s="99">
        <v>66</v>
      </c>
      <c r="G33" s="99">
        <v>11</v>
      </c>
      <c r="H33" s="100">
        <f>1286/C33</f>
        <v>1.593556381660471</v>
      </c>
      <c r="I33" s="99">
        <v>627</v>
      </c>
      <c r="J33" s="99">
        <v>180</v>
      </c>
      <c r="K33" s="101">
        <f t="shared" si="0"/>
        <v>22.304832713754646</v>
      </c>
      <c r="L33" s="127"/>
    </row>
    <row r="34" spans="1:12" ht="12.6" customHeight="1" x14ac:dyDescent="0.2">
      <c r="A34" s="126" t="s">
        <v>34</v>
      </c>
      <c r="B34" s="99">
        <v>14072</v>
      </c>
      <c r="C34" s="99">
        <f t="shared" si="2"/>
        <v>3287</v>
      </c>
      <c r="D34" s="99">
        <v>1599</v>
      </c>
      <c r="E34" s="99">
        <v>1278</v>
      </c>
      <c r="F34" s="99">
        <v>328</v>
      </c>
      <c r="G34" s="99">
        <v>82</v>
      </c>
      <c r="H34" s="100">
        <f>5482/C34</f>
        <v>1.6677821721934896</v>
      </c>
      <c r="I34" s="99">
        <v>2640</v>
      </c>
      <c r="J34" s="99">
        <v>647</v>
      </c>
      <c r="K34" s="101">
        <f t="shared" si="0"/>
        <v>19.683602068755704</v>
      </c>
      <c r="L34" s="127"/>
    </row>
    <row r="35" spans="1:12" ht="12.6" customHeight="1" x14ac:dyDescent="0.2">
      <c r="A35" s="126" t="s">
        <v>35</v>
      </c>
      <c r="B35" s="99">
        <v>17425</v>
      </c>
      <c r="C35" s="99">
        <f t="shared" si="2"/>
        <v>3653</v>
      </c>
      <c r="D35" s="99">
        <v>1817</v>
      </c>
      <c r="E35" s="99">
        <v>1348</v>
      </c>
      <c r="F35" s="99">
        <v>385</v>
      </c>
      <c r="G35" s="99">
        <v>103</v>
      </c>
      <c r="H35" s="100">
        <f>6113/C35</f>
        <v>1.6734191075828087</v>
      </c>
      <c r="I35" s="99">
        <v>2869</v>
      </c>
      <c r="J35" s="99">
        <v>784</v>
      </c>
      <c r="K35" s="101">
        <f t="shared" si="0"/>
        <v>21.461812209143169</v>
      </c>
      <c r="L35" s="127"/>
    </row>
    <row r="36" spans="1:12" ht="3" customHeight="1" x14ac:dyDescent="0.2">
      <c r="A36" s="126"/>
      <c r="B36" s="99"/>
      <c r="C36" s="99"/>
      <c r="D36" s="99"/>
      <c r="E36" s="99"/>
      <c r="F36" s="99"/>
      <c r="G36" s="99"/>
      <c r="H36" s="100"/>
      <c r="I36" s="99"/>
      <c r="J36" s="99"/>
      <c r="K36" s="101"/>
      <c r="L36" s="127"/>
    </row>
    <row r="37" spans="1:12" ht="12.6" customHeight="1" x14ac:dyDescent="0.2">
      <c r="A37" s="128" t="s">
        <v>36</v>
      </c>
      <c r="B37" s="99">
        <f t="shared" ref="B37:J37" si="3">SUM(B18:B35)</f>
        <v>195854</v>
      </c>
      <c r="C37" s="99">
        <f t="shared" si="3"/>
        <v>38762</v>
      </c>
      <c r="D37" s="99">
        <f t="shared" si="3"/>
        <v>19235</v>
      </c>
      <c r="E37" s="99">
        <f t="shared" si="3"/>
        <v>14779</v>
      </c>
      <c r="F37" s="99">
        <f t="shared" si="3"/>
        <v>3801</v>
      </c>
      <c r="G37" s="99">
        <f t="shared" si="3"/>
        <v>947</v>
      </c>
      <c r="H37" s="100">
        <f>64266/C37</f>
        <v>1.6579639853464734</v>
      </c>
      <c r="I37" s="99">
        <f t="shared" si="3"/>
        <v>30679</v>
      </c>
      <c r="J37" s="99">
        <f t="shared" si="3"/>
        <v>8083</v>
      </c>
      <c r="K37" s="101">
        <f t="shared" si="0"/>
        <v>20.852897167328827</v>
      </c>
      <c r="L37" s="127"/>
    </row>
    <row r="38" spans="1:12" ht="3" customHeight="1" x14ac:dyDescent="0.2">
      <c r="A38" s="129"/>
      <c r="B38" s="105"/>
      <c r="C38" s="99"/>
      <c r="D38" s="105"/>
      <c r="E38" s="105"/>
      <c r="F38" s="105"/>
      <c r="G38" s="105"/>
      <c r="H38" s="100"/>
      <c r="I38" s="105"/>
      <c r="J38" s="105"/>
      <c r="K38" s="107"/>
    </row>
    <row r="39" spans="1:12" ht="12.6" customHeight="1" x14ac:dyDescent="0.2">
      <c r="A39" s="128" t="s">
        <v>37</v>
      </c>
      <c r="B39" s="109">
        <f t="shared" ref="B39:G39" si="4">B16+B37</f>
        <v>303887</v>
      </c>
      <c r="C39" s="110">
        <f t="shared" si="2"/>
        <v>54405</v>
      </c>
      <c r="D39" s="109">
        <f t="shared" si="4"/>
        <v>27817</v>
      </c>
      <c r="E39" s="109">
        <f t="shared" si="4"/>
        <v>20143</v>
      </c>
      <c r="F39" s="109">
        <f t="shared" si="4"/>
        <v>5149</v>
      </c>
      <c r="G39" s="109">
        <f t="shared" si="4"/>
        <v>1296</v>
      </c>
      <c r="H39" s="100">
        <f>89147/C39</f>
        <v>1.6385810127745613</v>
      </c>
      <c r="I39" s="109">
        <f>I16+I37</f>
        <v>42240</v>
      </c>
      <c r="J39" s="109">
        <f>J16+J37</f>
        <v>12165</v>
      </c>
      <c r="K39" s="111">
        <f t="shared" si="0"/>
        <v>22.360077198786875</v>
      </c>
    </row>
    <row r="40" spans="1:12" ht="12.6" customHeight="1" x14ac:dyDescent="0.2">
      <c r="A40" s="130" t="s">
        <v>76</v>
      </c>
      <c r="B40" s="113"/>
      <c r="C40" s="114"/>
      <c r="D40" s="114"/>
      <c r="E40" s="114"/>
      <c r="F40" s="114"/>
      <c r="G40" s="115"/>
      <c r="H40" s="114"/>
      <c r="I40" s="114"/>
      <c r="J40" s="114"/>
      <c r="K40" s="114"/>
      <c r="L40" s="99"/>
    </row>
    <row r="41" spans="1:12" ht="12.6" customHeight="1" x14ac:dyDescent="0.2">
      <c r="A41" s="131" t="s">
        <v>93</v>
      </c>
      <c r="B41" s="122"/>
      <c r="C41" s="122"/>
      <c r="D41" s="122"/>
      <c r="E41" s="122"/>
      <c r="F41" s="122"/>
      <c r="G41" s="132"/>
      <c r="H41" s="122"/>
      <c r="I41" s="122"/>
      <c r="J41" s="122"/>
      <c r="K41" s="122"/>
    </row>
    <row r="42" spans="1:12" ht="12" customHeight="1" x14ac:dyDescent="0.2"/>
    <row r="43" spans="1:12" ht="12" customHeight="1" x14ac:dyDescent="0.2"/>
    <row r="44" spans="1:12" ht="12" customHeight="1" x14ac:dyDescent="0.2"/>
    <row r="45" spans="1:12" ht="12" customHeight="1" x14ac:dyDescent="0.2"/>
    <row r="46" spans="1:12" ht="12" customHeight="1" x14ac:dyDescent="0.2"/>
    <row r="47" spans="1:12" ht="12" customHeight="1" x14ac:dyDescent="0.2"/>
    <row r="48" spans="1:12" ht="12" customHeight="1" x14ac:dyDescent="0.2"/>
    <row r="49" ht="12" customHeight="1" x14ac:dyDescent="0.2"/>
    <row r="50" ht="11.25" x14ac:dyDescent="0.2"/>
    <row r="51" ht="11.25" x14ac:dyDescent="0.2"/>
    <row r="52" ht="11.25" x14ac:dyDescent="0.2"/>
    <row r="53" ht="11.25" x14ac:dyDescent="0.2"/>
    <row r="54" ht="11.25" x14ac:dyDescent="0.2"/>
    <row r="55" ht="11.25" x14ac:dyDescent="0.2"/>
    <row r="56" ht="11.25" x14ac:dyDescent="0.2"/>
    <row r="57" ht="11.25" x14ac:dyDescent="0.2"/>
    <row r="58" ht="11.25" x14ac:dyDescent="0.2"/>
    <row r="59" ht="11.25" x14ac:dyDescent="0.2"/>
    <row r="60" ht="11.25" x14ac:dyDescent="0.2"/>
    <row r="61" ht="11.25" x14ac:dyDescent="0.2"/>
    <row r="62" ht="11.25" x14ac:dyDescent="0.2"/>
    <row r="63" ht="11.25" x14ac:dyDescent="0.2"/>
    <row r="64" ht="11.25" x14ac:dyDescent="0.2"/>
    <row r="65" ht="11.25" x14ac:dyDescent="0.2"/>
  </sheetData>
  <mergeCells count="8">
    <mergeCell ref="A6:A8"/>
    <mergeCell ref="B6:B8"/>
    <mergeCell ref="C6:K6"/>
    <mergeCell ref="C7:C8"/>
    <mergeCell ref="D7:G7"/>
    <mergeCell ref="H7:H8"/>
    <mergeCell ref="I7:I8"/>
    <mergeCell ref="J7:K7"/>
  </mergeCells>
  <phoneticPr fontId="0" type="noConversion"/>
  <pageMargins left="0.59055118110236227" right="0.59055118110236227" top="0.59055118110236227" bottom="0.59055118110236227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ignoredErrors>
    <ignoredError sqref="C39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tabSelected="1" workbookViewId="0">
      <selection activeCell="R24" sqref="R24"/>
    </sheetView>
  </sheetViews>
  <sheetFormatPr baseColWidth="10" defaultColWidth="9.83203125" defaultRowHeight="12.75" customHeight="1" x14ac:dyDescent="0.2"/>
  <cols>
    <col min="1" max="1" width="21.1640625" style="117" customWidth="1"/>
    <col min="2" max="2" width="10.5" style="117" customWidth="1"/>
    <col min="3" max="3" width="9.6640625" style="117" customWidth="1"/>
    <col min="4" max="4" width="9.1640625" style="117" customWidth="1"/>
    <col min="5" max="7" width="9" style="117" customWidth="1"/>
    <col min="8" max="8" width="8.83203125" style="117" customWidth="1"/>
    <col min="9" max="10" width="9" style="117" customWidth="1"/>
    <col min="11" max="11" width="11.5" style="117" bestFit="1" customWidth="1"/>
    <col min="12" max="16384" width="9.83203125" style="117"/>
  </cols>
  <sheetData>
    <row r="1" spans="1:11" ht="12.75" customHeight="1" x14ac:dyDescent="0.2">
      <c r="A1" s="49" t="s">
        <v>77</v>
      </c>
      <c r="B1" s="49"/>
      <c r="C1" s="49"/>
      <c r="D1" s="49"/>
      <c r="E1" s="49"/>
      <c r="F1" s="49"/>
      <c r="G1" s="49"/>
      <c r="H1" s="87"/>
      <c r="I1" s="87"/>
      <c r="J1" s="87"/>
      <c r="K1" s="87"/>
    </row>
    <row r="3" spans="1:11" ht="26.25" customHeight="1" x14ac:dyDescent="0.2">
      <c r="A3" s="135" t="s">
        <v>108</v>
      </c>
      <c r="B3" s="119"/>
      <c r="C3" s="119"/>
      <c r="D3" s="119"/>
      <c r="E3" s="119"/>
      <c r="F3" s="119"/>
      <c r="G3" s="119"/>
      <c r="H3" s="119"/>
      <c r="I3" s="119"/>
      <c r="J3" s="119"/>
      <c r="K3" s="119"/>
    </row>
    <row r="4" spans="1:11" ht="12.6" customHeight="1" x14ac:dyDescent="0.2">
      <c r="A4" s="121"/>
      <c r="B4" s="122"/>
      <c r="C4" s="122"/>
      <c r="D4" s="122"/>
      <c r="E4" s="122"/>
      <c r="F4" s="122"/>
      <c r="G4" s="122"/>
      <c r="H4" s="122"/>
      <c r="I4" s="122"/>
      <c r="J4" s="122"/>
      <c r="K4" s="122"/>
    </row>
    <row r="5" spans="1:11" ht="12.6" customHeight="1" thickBot="1" x14ac:dyDescent="0.25">
      <c r="A5" s="154" t="s">
        <v>2</v>
      </c>
      <c r="B5" s="156" t="s">
        <v>86</v>
      </c>
      <c r="C5" s="158" t="s">
        <v>74</v>
      </c>
      <c r="D5" s="158"/>
      <c r="E5" s="158"/>
      <c r="F5" s="158"/>
      <c r="G5" s="158"/>
      <c r="H5" s="158"/>
      <c r="I5" s="158"/>
      <c r="J5" s="158"/>
      <c r="K5" s="159"/>
    </row>
    <row r="6" spans="1:11" ht="12.6" customHeight="1" thickBot="1" x14ac:dyDescent="0.25">
      <c r="A6" s="155"/>
      <c r="B6" s="157"/>
      <c r="C6" s="160" t="s">
        <v>3</v>
      </c>
      <c r="D6" s="160" t="s">
        <v>4</v>
      </c>
      <c r="E6" s="160"/>
      <c r="F6" s="160"/>
      <c r="G6" s="160"/>
      <c r="H6" s="157" t="s">
        <v>75</v>
      </c>
      <c r="I6" s="160" t="s">
        <v>6</v>
      </c>
      <c r="J6" s="161" t="s">
        <v>7</v>
      </c>
      <c r="K6" s="162"/>
    </row>
    <row r="7" spans="1:11" ht="12.6" customHeight="1" thickBot="1" x14ac:dyDescent="0.25">
      <c r="A7" s="155"/>
      <c r="B7" s="157"/>
      <c r="C7" s="160"/>
      <c r="D7" s="148">
        <v>1</v>
      </c>
      <c r="E7" s="148">
        <v>2</v>
      </c>
      <c r="F7" s="148">
        <v>3</v>
      </c>
      <c r="G7" s="148" t="s">
        <v>8</v>
      </c>
      <c r="H7" s="157"/>
      <c r="I7" s="160"/>
      <c r="J7" s="148" t="s">
        <v>10</v>
      </c>
      <c r="K7" s="149" t="s">
        <v>11</v>
      </c>
    </row>
    <row r="8" spans="1:11" ht="12.6" customHeight="1" x14ac:dyDescent="0.2">
      <c r="A8" s="125"/>
      <c r="B8" s="122"/>
      <c r="C8" s="122"/>
      <c r="D8" s="122"/>
      <c r="E8" s="122"/>
      <c r="F8" s="122"/>
      <c r="G8" s="122"/>
      <c r="H8" s="122"/>
      <c r="I8" s="122"/>
      <c r="J8" s="122"/>
      <c r="K8" s="122"/>
    </row>
    <row r="9" spans="1:11" ht="12.6" customHeight="1" x14ac:dyDescent="0.2">
      <c r="A9" s="126" t="s">
        <v>12</v>
      </c>
      <c r="B9" s="99">
        <v>14641</v>
      </c>
      <c r="C9" s="99">
        <v>1585</v>
      </c>
      <c r="D9" s="99">
        <v>905</v>
      </c>
      <c r="E9" s="99">
        <v>518</v>
      </c>
      <c r="F9" s="99">
        <v>119</v>
      </c>
      <c r="G9" s="99">
        <v>43</v>
      </c>
      <c r="H9" s="100">
        <v>1.57</v>
      </c>
      <c r="I9" s="99">
        <v>1190</v>
      </c>
      <c r="J9" s="99">
        <v>395</v>
      </c>
      <c r="K9" s="101">
        <v>24.9</v>
      </c>
    </row>
    <row r="10" spans="1:11" ht="12.6" customHeight="1" x14ac:dyDescent="0.2">
      <c r="A10" s="126" t="s">
        <v>13</v>
      </c>
      <c r="B10" s="99">
        <v>14948</v>
      </c>
      <c r="C10" s="99">
        <v>2640</v>
      </c>
      <c r="D10" s="99">
        <v>1384</v>
      </c>
      <c r="E10" s="99">
        <v>900</v>
      </c>
      <c r="F10" s="99">
        <v>258</v>
      </c>
      <c r="G10" s="99">
        <v>98</v>
      </c>
      <c r="H10" s="100">
        <v>1.66</v>
      </c>
      <c r="I10" s="99">
        <v>2065</v>
      </c>
      <c r="J10" s="99">
        <v>575</v>
      </c>
      <c r="K10" s="101">
        <v>21.8</v>
      </c>
    </row>
    <row r="11" spans="1:11" ht="12.6" customHeight="1" x14ac:dyDescent="0.2">
      <c r="A11" s="126" t="s">
        <v>14</v>
      </c>
      <c r="B11" s="99">
        <v>27258</v>
      </c>
      <c r="C11" s="99">
        <v>4389</v>
      </c>
      <c r="D11" s="99">
        <v>2336</v>
      </c>
      <c r="E11" s="99">
        <v>1561</v>
      </c>
      <c r="F11" s="99">
        <v>384</v>
      </c>
      <c r="G11" s="99">
        <v>108</v>
      </c>
      <c r="H11" s="100">
        <v>1.61</v>
      </c>
      <c r="I11" s="99">
        <v>3282</v>
      </c>
      <c r="J11" s="99">
        <v>1107</v>
      </c>
      <c r="K11" s="101">
        <v>25.2</v>
      </c>
    </row>
    <row r="12" spans="1:11" ht="12.6" customHeight="1" x14ac:dyDescent="0.2">
      <c r="A12" s="126" t="s">
        <v>15</v>
      </c>
      <c r="B12" s="99">
        <v>25299</v>
      </c>
      <c r="C12" s="99">
        <v>3765</v>
      </c>
      <c r="D12" s="99">
        <v>2010</v>
      </c>
      <c r="E12" s="99">
        <v>1391</v>
      </c>
      <c r="F12" s="99">
        <v>305</v>
      </c>
      <c r="G12" s="99">
        <v>59</v>
      </c>
      <c r="H12" s="100">
        <v>1.58</v>
      </c>
      <c r="I12" s="99">
        <v>2948</v>
      </c>
      <c r="J12" s="99">
        <v>817</v>
      </c>
      <c r="K12" s="101">
        <v>21.7</v>
      </c>
    </row>
    <row r="13" spans="1:11" ht="12.6" customHeight="1" x14ac:dyDescent="0.2">
      <c r="A13" s="126" t="s">
        <v>16</v>
      </c>
      <c r="B13" s="99">
        <v>30544</v>
      </c>
      <c r="C13" s="99">
        <v>4369</v>
      </c>
      <c r="D13" s="99">
        <v>2350</v>
      </c>
      <c r="E13" s="99">
        <v>1629</v>
      </c>
      <c r="F13" s="99">
        <v>327</v>
      </c>
      <c r="G13" s="99">
        <v>63</v>
      </c>
      <c r="H13" s="100">
        <v>1.57</v>
      </c>
      <c r="I13" s="99">
        <v>3453</v>
      </c>
      <c r="J13" s="99">
        <v>916</v>
      </c>
      <c r="K13" s="101">
        <v>21</v>
      </c>
    </row>
    <row r="14" spans="1:11" s="153" customFormat="1" ht="17.100000000000001" customHeight="1" x14ac:dyDescent="0.2">
      <c r="A14" s="150" t="s">
        <v>17</v>
      </c>
      <c r="B14" s="151">
        <v>112690</v>
      </c>
      <c r="C14" s="151">
        <v>16748</v>
      </c>
      <c r="D14" s="151">
        <v>8985</v>
      </c>
      <c r="E14" s="151">
        <v>5999</v>
      </c>
      <c r="F14" s="151">
        <v>1393</v>
      </c>
      <c r="G14" s="151">
        <v>371</v>
      </c>
      <c r="H14" s="136">
        <v>1.6</v>
      </c>
      <c r="I14" s="151">
        <v>12938</v>
      </c>
      <c r="J14" s="151">
        <v>3810</v>
      </c>
      <c r="K14" s="152">
        <v>22.7</v>
      </c>
    </row>
    <row r="15" spans="1:11" ht="12.6" customHeight="1" x14ac:dyDescent="0.2">
      <c r="A15" s="126" t="s">
        <v>18</v>
      </c>
      <c r="B15" s="99">
        <v>36397</v>
      </c>
      <c r="C15" s="99">
        <v>6856</v>
      </c>
      <c r="D15" s="99">
        <v>3413</v>
      </c>
      <c r="E15" s="99">
        <v>2486</v>
      </c>
      <c r="F15" s="99">
        <v>734</v>
      </c>
      <c r="G15" s="99">
        <v>223</v>
      </c>
      <c r="H15" s="100">
        <v>1.69</v>
      </c>
      <c r="I15" s="99">
        <v>5214</v>
      </c>
      <c r="J15" s="99">
        <v>1642</v>
      </c>
      <c r="K15" s="101">
        <v>23.9</v>
      </c>
    </row>
    <row r="16" spans="1:11" ht="12.6" customHeight="1" x14ac:dyDescent="0.2">
      <c r="A16" s="126" t="s">
        <v>19</v>
      </c>
      <c r="B16" s="99">
        <v>3528</v>
      </c>
      <c r="C16" s="99">
        <v>651</v>
      </c>
      <c r="D16" s="99">
        <v>316</v>
      </c>
      <c r="E16" s="99">
        <v>248</v>
      </c>
      <c r="F16" s="99">
        <v>69</v>
      </c>
      <c r="G16" s="99">
        <v>18</v>
      </c>
      <c r="H16" s="100">
        <v>1.68</v>
      </c>
      <c r="I16" s="99">
        <v>510</v>
      </c>
      <c r="J16" s="99">
        <v>141</v>
      </c>
      <c r="K16" s="101">
        <v>21.7</v>
      </c>
    </row>
    <row r="17" spans="1:11" ht="12.6" customHeight="1" x14ac:dyDescent="0.2">
      <c r="A17" s="126" t="s">
        <v>20</v>
      </c>
      <c r="B17" s="99">
        <v>6593</v>
      </c>
      <c r="C17" s="99">
        <v>1220</v>
      </c>
      <c r="D17" s="99">
        <v>582</v>
      </c>
      <c r="E17" s="99">
        <v>501</v>
      </c>
      <c r="F17" s="99">
        <v>114</v>
      </c>
      <c r="G17" s="99">
        <v>23</v>
      </c>
      <c r="H17" s="100">
        <v>1.66</v>
      </c>
      <c r="I17" s="99">
        <v>985</v>
      </c>
      <c r="J17" s="99">
        <v>235</v>
      </c>
      <c r="K17" s="101">
        <v>19.3</v>
      </c>
    </row>
    <row r="18" spans="1:11" ht="12.6" customHeight="1" x14ac:dyDescent="0.2">
      <c r="A18" s="126" t="s">
        <v>21</v>
      </c>
      <c r="B18" s="99">
        <v>8631</v>
      </c>
      <c r="C18" s="99">
        <v>1560</v>
      </c>
      <c r="D18" s="99">
        <v>739</v>
      </c>
      <c r="E18" s="99">
        <v>660</v>
      </c>
      <c r="F18" s="99">
        <v>131</v>
      </c>
      <c r="G18" s="99">
        <v>30</v>
      </c>
      <c r="H18" s="100">
        <v>1.66</v>
      </c>
      <c r="I18" s="99">
        <v>1264</v>
      </c>
      <c r="J18" s="99">
        <v>296</v>
      </c>
      <c r="K18" s="101">
        <v>19</v>
      </c>
    </row>
    <row r="19" spans="1:11" ht="12.6" customHeight="1" x14ac:dyDescent="0.2">
      <c r="A19" s="126" t="s">
        <v>22</v>
      </c>
      <c r="B19" s="99">
        <v>15870</v>
      </c>
      <c r="C19" s="99">
        <v>3062</v>
      </c>
      <c r="D19" s="99">
        <v>1524</v>
      </c>
      <c r="E19" s="99">
        <v>1186</v>
      </c>
      <c r="F19" s="99">
        <v>273</v>
      </c>
      <c r="G19" s="99">
        <v>79</v>
      </c>
      <c r="H19" s="100">
        <v>1.65</v>
      </c>
      <c r="I19" s="99">
        <v>2455</v>
      </c>
      <c r="J19" s="99">
        <v>607</v>
      </c>
      <c r="K19" s="101">
        <v>19.8</v>
      </c>
    </row>
    <row r="20" spans="1:11" ht="12.6" customHeight="1" x14ac:dyDescent="0.2">
      <c r="A20" s="126" t="s">
        <v>23</v>
      </c>
      <c r="B20" s="99">
        <v>4860</v>
      </c>
      <c r="C20" s="99">
        <v>975</v>
      </c>
      <c r="D20" s="99">
        <v>463</v>
      </c>
      <c r="E20" s="99">
        <v>390</v>
      </c>
      <c r="F20" s="99">
        <v>91</v>
      </c>
      <c r="G20" s="99">
        <v>31</v>
      </c>
      <c r="H20" s="100">
        <v>1.7</v>
      </c>
      <c r="I20" s="99">
        <v>797</v>
      </c>
      <c r="J20" s="99">
        <v>178</v>
      </c>
      <c r="K20" s="101">
        <v>18.3</v>
      </c>
    </row>
    <row r="21" spans="1:11" ht="12.6" customHeight="1" x14ac:dyDescent="0.2">
      <c r="A21" s="126" t="s">
        <v>24</v>
      </c>
      <c r="B21" s="99">
        <v>17304</v>
      </c>
      <c r="C21" s="99">
        <v>3539</v>
      </c>
      <c r="D21" s="99">
        <v>1770</v>
      </c>
      <c r="E21" s="99">
        <v>1337</v>
      </c>
      <c r="F21" s="99">
        <v>345</v>
      </c>
      <c r="G21" s="99">
        <v>87</v>
      </c>
      <c r="H21" s="100">
        <v>1.65</v>
      </c>
      <c r="I21" s="99">
        <v>2863</v>
      </c>
      <c r="J21" s="99">
        <v>676</v>
      </c>
      <c r="K21" s="101">
        <v>19.100000000000001</v>
      </c>
    </row>
    <row r="22" spans="1:11" ht="12.6" customHeight="1" x14ac:dyDescent="0.2">
      <c r="A22" s="126" t="s">
        <v>25</v>
      </c>
      <c r="B22" s="99">
        <v>12325</v>
      </c>
      <c r="C22" s="99">
        <v>2660</v>
      </c>
      <c r="D22" s="99">
        <v>1282</v>
      </c>
      <c r="E22" s="99">
        <v>982</v>
      </c>
      <c r="F22" s="99">
        <v>308</v>
      </c>
      <c r="G22" s="99">
        <v>88</v>
      </c>
      <c r="H22" s="100">
        <v>1.71</v>
      </c>
      <c r="I22" s="99">
        <v>2037</v>
      </c>
      <c r="J22" s="99">
        <v>623</v>
      </c>
      <c r="K22" s="101">
        <v>23.4</v>
      </c>
    </row>
    <row r="23" spans="1:11" ht="12.6" customHeight="1" x14ac:dyDescent="0.2">
      <c r="A23" s="126" t="s">
        <v>26</v>
      </c>
      <c r="B23" s="99">
        <v>3359</v>
      </c>
      <c r="C23" s="99">
        <v>619</v>
      </c>
      <c r="D23" s="99">
        <v>345</v>
      </c>
      <c r="E23" s="99">
        <v>202</v>
      </c>
      <c r="F23" s="99">
        <v>54</v>
      </c>
      <c r="G23" s="99">
        <v>18</v>
      </c>
      <c r="H23" s="100">
        <v>1.6</v>
      </c>
      <c r="I23" s="99">
        <v>473</v>
      </c>
      <c r="J23" s="99">
        <v>146</v>
      </c>
      <c r="K23" s="101">
        <v>23.6</v>
      </c>
    </row>
    <row r="24" spans="1:11" ht="12.6" customHeight="1" x14ac:dyDescent="0.2">
      <c r="A24" s="126" t="s">
        <v>27</v>
      </c>
      <c r="B24" s="99">
        <v>4191</v>
      </c>
      <c r="C24" s="99">
        <v>817</v>
      </c>
      <c r="D24" s="99">
        <v>378</v>
      </c>
      <c r="E24" s="99">
        <v>322</v>
      </c>
      <c r="F24" s="99">
        <v>89</v>
      </c>
      <c r="G24" s="99">
        <v>28</v>
      </c>
      <c r="H24" s="100">
        <v>1.72</v>
      </c>
      <c r="I24" s="99">
        <v>631</v>
      </c>
      <c r="J24" s="99">
        <v>186</v>
      </c>
      <c r="K24" s="101">
        <v>22.8</v>
      </c>
    </row>
    <row r="25" spans="1:11" ht="12.6" customHeight="1" x14ac:dyDescent="0.2">
      <c r="A25" s="126" t="s">
        <v>28</v>
      </c>
      <c r="B25" s="99">
        <v>7356</v>
      </c>
      <c r="C25" s="99">
        <v>1271</v>
      </c>
      <c r="D25" s="99">
        <v>622</v>
      </c>
      <c r="E25" s="99">
        <v>486</v>
      </c>
      <c r="F25" s="99">
        <v>121</v>
      </c>
      <c r="G25" s="99">
        <v>42</v>
      </c>
      <c r="H25" s="100">
        <v>1.68</v>
      </c>
      <c r="I25" s="99">
        <v>984</v>
      </c>
      <c r="J25" s="99">
        <v>287</v>
      </c>
      <c r="K25" s="101">
        <v>22.6</v>
      </c>
    </row>
    <row r="26" spans="1:11" ht="12.6" customHeight="1" x14ac:dyDescent="0.2">
      <c r="A26" s="126" t="s">
        <v>29</v>
      </c>
      <c r="B26" s="99">
        <v>12229</v>
      </c>
      <c r="C26" s="99">
        <v>2365</v>
      </c>
      <c r="D26" s="99">
        <v>1141</v>
      </c>
      <c r="E26" s="99">
        <v>945</v>
      </c>
      <c r="F26" s="99">
        <v>227</v>
      </c>
      <c r="G26" s="99">
        <v>52</v>
      </c>
      <c r="H26" s="100">
        <v>1.66</v>
      </c>
      <c r="I26" s="99">
        <v>1893</v>
      </c>
      <c r="J26" s="99">
        <v>472</v>
      </c>
      <c r="K26" s="101">
        <v>20</v>
      </c>
    </row>
    <row r="27" spans="1:11" ht="12.6" customHeight="1" x14ac:dyDescent="0.2">
      <c r="A27" s="126" t="s">
        <v>30</v>
      </c>
      <c r="B27" s="99">
        <v>6255</v>
      </c>
      <c r="C27" s="99">
        <v>1286</v>
      </c>
      <c r="D27" s="99">
        <v>613</v>
      </c>
      <c r="E27" s="99">
        <v>502</v>
      </c>
      <c r="F27" s="99">
        <v>141</v>
      </c>
      <c r="G27" s="99">
        <v>30</v>
      </c>
      <c r="H27" s="100">
        <v>1.69</v>
      </c>
      <c r="I27" s="99">
        <v>1031</v>
      </c>
      <c r="J27" s="99">
        <v>255</v>
      </c>
      <c r="K27" s="101">
        <v>19.8</v>
      </c>
    </row>
    <row r="28" spans="1:11" ht="12.6" customHeight="1" x14ac:dyDescent="0.2">
      <c r="A28" s="126" t="s">
        <v>31</v>
      </c>
      <c r="B28" s="99">
        <v>8709</v>
      </c>
      <c r="C28" s="99">
        <v>1562</v>
      </c>
      <c r="D28" s="99">
        <v>759</v>
      </c>
      <c r="E28" s="99">
        <v>600</v>
      </c>
      <c r="F28" s="99">
        <v>149</v>
      </c>
      <c r="G28" s="99">
        <v>54</v>
      </c>
      <c r="H28" s="100">
        <v>1.69</v>
      </c>
      <c r="I28" s="99">
        <v>1214</v>
      </c>
      <c r="J28" s="99">
        <v>348</v>
      </c>
      <c r="K28" s="101">
        <v>22.3</v>
      </c>
    </row>
    <row r="29" spans="1:11" ht="12.6" customHeight="1" x14ac:dyDescent="0.2">
      <c r="A29" s="126" t="s">
        <v>32</v>
      </c>
      <c r="B29" s="99">
        <v>24642</v>
      </c>
      <c r="C29" s="99">
        <v>4171</v>
      </c>
      <c r="D29" s="99">
        <v>2038</v>
      </c>
      <c r="E29" s="99">
        <v>1649</v>
      </c>
      <c r="F29" s="99">
        <v>394</v>
      </c>
      <c r="G29" s="99">
        <v>90</v>
      </c>
      <c r="H29" s="100">
        <v>1.65</v>
      </c>
      <c r="I29" s="99">
        <v>3369</v>
      </c>
      <c r="J29" s="99">
        <v>802</v>
      </c>
      <c r="K29" s="101">
        <v>19.2</v>
      </c>
    </row>
    <row r="30" spans="1:11" ht="12.6" customHeight="1" x14ac:dyDescent="0.2">
      <c r="A30" s="126" t="s">
        <v>33</v>
      </c>
      <c r="B30" s="99">
        <v>4792</v>
      </c>
      <c r="C30" s="99">
        <v>891</v>
      </c>
      <c r="D30" s="99">
        <v>434</v>
      </c>
      <c r="E30" s="99">
        <v>311</v>
      </c>
      <c r="F30" s="99">
        <v>110</v>
      </c>
      <c r="G30" s="99">
        <v>36</v>
      </c>
      <c r="H30" s="100">
        <v>1.73</v>
      </c>
      <c r="I30" s="99">
        <v>680</v>
      </c>
      <c r="J30" s="99">
        <v>211</v>
      </c>
      <c r="K30" s="101">
        <v>23.7</v>
      </c>
    </row>
    <row r="31" spans="1:11" ht="12.6" customHeight="1" x14ac:dyDescent="0.2">
      <c r="A31" s="126" t="s">
        <v>34</v>
      </c>
      <c r="B31" s="99">
        <v>15114</v>
      </c>
      <c r="C31" s="99">
        <v>3426</v>
      </c>
      <c r="D31" s="99">
        <v>1645</v>
      </c>
      <c r="E31" s="99">
        <v>1333</v>
      </c>
      <c r="F31" s="99">
        <v>345</v>
      </c>
      <c r="G31" s="99">
        <v>103</v>
      </c>
      <c r="H31" s="100">
        <v>1.69</v>
      </c>
      <c r="I31" s="99">
        <v>2689</v>
      </c>
      <c r="J31" s="99">
        <v>737</v>
      </c>
      <c r="K31" s="101">
        <v>21.5</v>
      </c>
    </row>
    <row r="32" spans="1:11" ht="12.6" customHeight="1" x14ac:dyDescent="0.2">
      <c r="A32" s="126" t="s">
        <v>35</v>
      </c>
      <c r="B32" s="99">
        <v>18981</v>
      </c>
      <c r="C32" s="99">
        <v>4094</v>
      </c>
      <c r="D32" s="99">
        <v>1954</v>
      </c>
      <c r="E32" s="99">
        <v>1557</v>
      </c>
      <c r="F32" s="99">
        <v>436</v>
      </c>
      <c r="G32" s="99">
        <v>147</v>
      </c>
      <c r="H32" s="100">
        <v>1.71</v>
      </c>
      <c r="I32" s="99">
        <v>3194</v>
      </c>
      <c r="J32" s="99">
        <v>900</v>
      </c>
      <c r="K32" s="101">
        <v>22</v>
      </c>
    </row>
    <row r="33" spans="1:11" s="153" customFormat="1" ht="17.100000000000001" customHeight="1" x14ac:dyDescent="0.2">
      <c r="A33" s="150" t="s">
        <v>36</v>
      </c>
      <c r="B33" s="151">
        <v>211136</v>
      </c>
      <c r="C33" s="151">
        <v>41025</v>
      </c>
      <c r="D33" s="151">
        <v>20018</v>
      </c>
      <c r="E33" s="151">
        <v>15697</v>
      </c>
      <c r="F33" s="151">
        <v>4131</v>
      </c>
      <c r="G33" s="151">
        <v>1179</v>
      </c>
      <c r="H33" s="136">
        <v>1.68</v>
      </c>
      <c r="I33" s="151">
        <v>32283</v>
      </c>
      <c r="J33" s="151">
        <v>8742</v>
      </c>
      <c r="K33" s="152">
        <v>21.3</v>
      </c>
    </row>
    <row r="34" spans="1:11" ht="17.100000000000001" customHeight="1" x14ac:dyDescent="0.2">
      <c r="A34" s="128" t="s">
        <v>37</v>
      </c>
      <c r="B34" s="109">
        <v>323826</v>
      </c>
      <c r="C34" s="139">
        <v>57773</v>
      </c>
      <c r="D34" s="109">
        <v>29003</v>
      </c>
      <c r="E34" s="109">
        <v>21696</v>
      </c>
      <c r="F34" s="109">
        <v>5524</v>
      </c>
      <c r="G34" s="109">
        <v>1550</v>
      </c>
      <c r="H34" s="137">
        <v>1.65</v>
      </c>
      <c r="I34" s="109">
        <v>45221</v>
      </c>
      <c r="J34" s="109">
        <v>12552</v>
      </c>
      <c r="K34" s="138">
        <v>21.7</v>
      </c>
    </row>
  </sheetData>
  <mergeCells count="8">
    <mergeCell ref="A5:A7"/>
    <mergeCell ref="B5:B7"/>
    <mergeCell ref="C5:K5"/>
    <mergeCell ref="C6:C7"/>
    <mergeCell ref="D6:G6"/>
    <mergeCell ref="H6:H7"/>
    <mergeCell ref="I6:I7"/>
    <mergeCell ref="J6:K6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>
    <pageSetUpPr fitToPage="1"/>
  </sheetPr>
  <dimension ref="A1:L60"/>
  <sheetViews>
    <sheetView workbookViewId="0">
      <selection activeCell="M1" sqref="M1:N65536"/>
    </sheetView>
  </sheetViews>
  <sheetFormatPr baseColWidth="10" defaultColWidth="12" defaultRowHeight="11.25" x14ac:dyDescent="0.2"/>
  <cols>
    <col min="1" max="1" width="21.83203125" style="88" customWidth="1"/>
    <col min="2" max="2" width="10.6640625" style="88" customWidth="1"/>
    <col min="3" max="3" width="9.83203125" style="88" customWidth="1"/>
    <col min="4" max="7" width="8.83203125" style="88" customWidth="1"/>
    <col min="8" max="8" width="9.33203125" style="88" customWidth="1"/>
    <col min="9" max="10" width="8.83203125" style="88" customWidth="1"/>
    <col min="11" max="11" width="10.83203125" style="88" customWidth="1"/>
    <col min="12" max="16384" width="12" style="88"/>
  </cols>
  <sheetData>
    <row r="1" spans="1:12" ht="12.75" x14ac:dyDescent="0.2">
      <c r="A1" s="49" t="s">
        <v>80</v>
      </c>
      <c r="B1" s="49"/>
      <c r="C1" s="49"/>
      <c r="D1" s="49"/>
      <c r="E1" s="49"/>
      <c r="F1" s="49"/>
      <c r="G1" s="49"/>
      <c r="H1" s="87"/>
      <c r="I1" s="87"/>
      <c r="J1" s="87"/>
      <c r="K1" s="87"/>
    </row>
    <row r="2" spans="1:12" ht="12.75" customHeight="1" x14ac:dyDescent="0.2">
      <c r="A2" s="89"/>
    </row>
    <row r="3" spans="1:12" ht="13.35" customHeight="1" x14ac:dyDescent="0.2">
      <c r="A3" s="90" t="s">
        <v>81</v>
      </c>
      <c r="B3" s="91"/>
      <c r="C3" s="91"/>
      <c r="D3" s="91"/>
      <c r="E3" s="91"/>
      <c r="F3" s="91"/>
      <c r="G3" s="91"/>
      <c r="H3" s="91"/>
      <c r="I3" s="91"/>
      <c r="J3" s="91"/>
      <c r="K3" s="91"/>
    </row>
    <row r="4" spans="1:12" ht="13.5" customHeight="1" x14ac:dyDescent="0.2">
      <c r="A4" s="92" t="s">
        <v>79</v>
      </c>
      <c r="B4" s="91"/>
      <c r="C4" s="91"/>
      <c r="D4" s="91"/>
      <c r="E4" s="91"/>
      <c r="F4" s="91"/>
      <c r="G4" s="91"/>
      <c r="H4" s="91"/>
      <c r="I4" s="91"/>
      <c r="J4" s="91"/>
      <c r="K4" s="91"/>
    </row>
    <row r="5" spans="1:12" ht="12.75" customHeight="1" x14ac:dyDescent="0.2">
      <c r="A5" s="93"/>
    </row>
    <row r="6" spans="1:12" ht="12.75" customHeight="1" thickBot="1" x14ac:dyDescent="0.25">
      <c r="A6" s="163" t="s">
        <v>2</v>
      </c>
      <c r="B6" s="165" t="s">
        <v>90</v>
      </c>
      <c r="C6" s="167" t="s">
        <v>74</v>
      </c>
      <c r="D6" s="167"/>
      <c r="E6" s="167"/>
      <c r="F6" s="167"/>
      <c r="G6" s="167"/>
      <c r="H6" s="167"/>
      <c r="I6" s="167"/>
      <c r="J6" s="167"/>
      <c r="K6" s="168"/>
    </row>
    <row r="7" spans="1:12" ht="12.75" customHeight="1" thickBot="1" x14ac:dyDescent="0.25">
      <c r="A7" s="164"/>
      <c r="B7" s="166"/>
      <c r="C7" s="169" t="s">
        <v>3</v>
      </c>
      <c r="D7" s="169" t="s">
        <v>4</v>
      </c>
      <c r="E7" s="169"/>
      <c r="F7" s="169"/>
      <c r="G7" s="169"/>
      <c r="H7" s="166" t="s">
        <v>75</v>
      </c>
      <c r="I7" s="169" t="s">
        <v>6</v>
      </c>
      <c r="J7" s="170" t="s">
        <v>7</v>
      </c>
      <c r="K7" s="171"/>
    </row>
    <row r="8" spans="1:12" ht="12.75" customHeight="1" thickBot="1" x14ac:dyDescent="0.25">
      <c r="A8" s="164"/>
      <c r="B8" s="166"/>
      <c r="C8" s="169"/>
      <c r="D8" s="94">
        <v>1</v>
      </c>
      <c r="E8" s="94">
        <v>2</v>
      </c>
      <c r="F8" s="94">
        <v>3</v>
      </c>
      <c r="G8" s="94" t="s">
        <v>8</v>
      </c>
      <c r="H8" s="166"/>
      <c r="I8" s="169"/>
      <c r="J8" s="94" t="s">
        <v>10</v>
      </c>
      <c r="K8" s="95" t="s">
        <v>11</v>
      </c>
    </row>
    <row r="9" spans="1:12" ht="12.75" customHeight="1" x14ac:dyDescent="0.2">
      <c r="A9" s="96"/>
    </row>
    <row r="10" spans="1:12" ht="12.75" customHeight="1" x14ac:dyDescent="0.2">
      <c r="A10" s="97" t="s">
        <v>12</v>
      </c>
      <c r="B10" s="98">
        <v>13801</v>
      </c>
      <c r="C10" s="99">
        <f>SUM(D10:G10)</f>
        <v>1468</v>
      </c>
      <c r="D10" s="99">
        <v>840</v>
      </c>
      <c r="E10" s="99">
        <v>471</v>
      </c>
      <c r="F10" s="99">
        <v>111</v>
      </c>
      <c r="G10" s="99">
        <v>46</v>
      </c>
      <c r="H10" s="100">
        <f>2331/C10</f>
        <v>1.5878746594005451</v>
      </c>
      <c r="I10" s="99">
        <v>1073</v>
      </c>
      <c r="J10" s="99">
        <v>395</v>
      </c>
      <c r="K10" s="101">
        <f t="shared" ref="K10:K15" si="0">+J10/C10*100</f>
        <v>26.907356948228884</v>
      </c>
      <c r="L10" s="102"/>
    </row>
    <row r="11" spans="1:12" ht="12.75" customHeight="1" x14ac:dyDescent="0.2">
      <c r="A11" s="97" t="s">
        <v>13</v>
      </c>
      <c r="B11" s="98">
        <v>13328</v>
      </c>
      <c r="C11" s="99">
        <f>SUM(D11:G11)</f>
        <v>2369</v>
      </c>
      <c r="D11" s="99">
        <v>1226</v>
      </c>
      <c r="E11" s="99">
        <v>834</v>
      </c>
      <c r="F11" s="99">
        <v>242</v>
      </c>
      <c r="G11" s="99">
        <v>67</v>
      </c>
      <c r="H11" s="100">
        <f>3910/C11</f>
        <v>1.6504854368932038</v>
      </c>
      <c r="I11" s="99">
        <v>1803</v>
      </c>
      <c r="J11" s="99">
        <v>566</v>
      </c>
      <c r="K11" s="101">
        <f t="shared" si="0"/>
        <v>23.891937526382439</v>
      </c>
      <c r="L11" s="102"/>
    </row>
    <row r="12" spans="1:12" ht="12.75" customHeight="1" x14ac:dyDescent="0.2">
      <c r="A12" s="97" t="s">
        <v>14</v>
      </c>
      <c r="B12" s="98">
        <v>25666</v>
      </c>
      <c r="C12" s="99">
        <f>SUM(D12:G12)</f>
        <v>4359</v>
      </c>
      <c r="D12" s="99">
        <v>2360</v>
      </c>
      <c r="E12" s="99">
        <v>1526</v>
      </c>
      <c r="F12" s="99">
        <v>365</v>
      </c>
      <c r="G12" s="99">
        <v>108</v>
      </c>
      <c r="H12" s="100">
        <f>6972/C12</f>
        <v>1.5994494150034411</v>
      </c>
      <c r="I12" s="99">
        <v>3131</v>
      </c>
      <c r="J12" s="99">
        <v>1228</v>
      </c>
      <c r="K12" s="101">
        <f t="shared" si="0"/>
        <v>28.17159899059417</v>
      </c>
      <c r="L12" s="102"/>
    </row>
    <row r="13" spans="1:12" ht="12.75" customHeight="1" x14ac:dyDescent="0.2">
      <c r="A13" s="97" t="s">
        <v>15</v>
      </c>
      <c r="B13" s="98">
        <v>24512</v>
      </c>
      <c r="C13" s="99">
        <f>SUM(D13:G13)</f>
        <v>3583</v>
      </c>
      <c r="D13" s="99">
        <v>1961</v>
      </c>
      <c r="E13" s="99">
        <v>1229</v>
      </c>
      <c r="F13" s="99">
        <v>318</v>
      </c>
      <c r="G13" s="99">
        <v>75</v>
      </c>
      <c r="H13" s="100">
        <f>5694/C13</f>
        <v>1.5891710856823891</v>
      </c>
      <c r="I13" s="99">
        <v>2711</v>
      </c>
      <c r="J13" s="99">
        <v>872</v>
      </c>
      <c r="K13" s="101">
        <f t="shared" si="0"/>
        <v>24.337147641641081</v>
      </c>
      <c r="L13" s="102"/>
    </row>
    <row r="14" spans="1:12" ht="12.75" customHeight="1" x14ac:dyDescent="0.2">
      <c r="A14" s="97" t="s">
        <v>16</v>
      </c>
      <c r="B14" s="98">
        <v>29839</v>
      </c>
      <c r="C14" s="99">
        <f>SUM(D14:G14)</f>
        <v>3866</v>
      </c>
      <c r="D14" s="99">
        <v>2197</v>
      </c>
      <c r="E14" s="99">
        <v>1291</v>
      </c>
      <c r="F14" s="99">
        <v>298</v>
      </c>
      <c r="G14" s="99">
        <v>80</v>
      </c>
      <c r="H14" s="100">
        <f>6010/C14</f>
        <v>1.5545783755819969</v>
      </c>
      <c r="I14" s="99">
        <v>2873</v>
      </c>
      <c r="J14" s="99">
        <v>993</v>
      </c>
      <c r="K14" s="101">
        <f t="shared" si="0"/>
        <v>25.685463010863941</v>
      </c>
      <c r="L14" s="102"/>
    </row>
    <row r="15" spans="1:12" ht="12.75" customHeight="1" x14ac:dyDescent="0.2">
      <c r="A15" s="103" t="s">
        <v>17</v>
      </c>
      <c r="B15" s="99">
        <f t="shared" ref="B15:G15" si="1">SUM(B10:B14)</f>
        <v>107146</v>
      </c>
      <c r="C15" s="99">
        <f t="shared" si="1"/>
        <v>15645</v>
      </c>
      <c r="D15" s="99">
        <f t="shared" si="1"/>
        <v>8584</v>
      </c>
      <c r="E15" s="99">
        <f t="shared" si="1"/>
        <v>5351</v>
      </c>
      <c r="F15" s="99">
        <f t="shared" si="1"/>
        <v>1334</v>
      </c>
      <c r="G15" s="99">
        <f t="shared" si="1"/>
        <v>376</v>
      </c>
      <c r="H15" s="100">
        <f>24917/C15</f>
        <v>1.5926494087567913</v>
      </c>
      <c r="I15" s="99">
        <f>SUM(I10:I14)</f>
        <v>11591</v>
      </c>
      <c r="J15" s="99">
        <f>SUM(J10:J14)</f>
        <v>4054</v>
      </c>
      <c r="K15" s="101">
        <f t="shared" si="0"/>
        <v>25.912432086928732</v>
      </c>
      <c r="L15" s="102"/>
    </row>
    <row r="16" spans="1:12" ht="6" customHeight="1" x14ac:dyDescent="0.2">
      <c r="A16" s="104"/>
      <c r="B16" s="105"/>
      <c r="C16" s="105"/>
      <c r="D16" s="105"/>
      <c r="E16" s="105"/>
      <c r="F16" s="105"/>
      <c r="G16" s="105"/>
      <c r="H16" s="106"/>
      <c r="I16" s="105"/>
      <c r="J16" s="105"/>
      <c r="K16" s="107"/>
      <c r="L16" s="102"/>
    </row>
    <row r="17" spans="1:12" ht="12.75" customHeight="1" x14ac:dyDescent="0.2">
      <c r="A17" s="97" t="s">
        <v>18</v>
      </c>
      <c r="B17" s="98">
        <v>33051</v>
      </c>
      <c r="C17" s="99">
        <f t="shared" ref="C17:C35" si="2">SUM(D17:G17)</f>
        <v>7033</v>
      </c>
      <c r="D17" s="99">
        <v>3504</v>
      </c>
      <c r="E17" s="99">
        <v>2619</v>
      </c>
      <c r="F17" s="99">
        <v>733</v>
      </c>
      <c r="G17" s="99">
        <v>177</v>
      </c>
      <c r="H17" s="100">
        <f>11705/C17</f>
        <v>1.6642968861083465</v>
      </c>
      <c r="I17" s="99">
        <v>5498</v>
      </c>
      <c r="J17" s="99">
        <v>1535</v>
      </c>
      <c r="K17" s="101">
        <f t="shared" ref="K17:K35" si="3">+J17/C17*100</f>
        <v>21.825678942129958</v>
      </c>
      <c r="L17" s="102"/>
    </row>
    <row r="18" spans="1:12" ht="12.75" customHeight="1" x14ac:dyDescent="0.2">
      <c r="A18" s="97" t="s">
        <v>19</v>
      </c>
      <c r="B18" s="98">
        <v>3217</v>
      </c>
      <c r="C18" s="99">
        <f t="shared" si="2"/>
        <v>594</v>
      </c>
      <c r="D18" s="99">
        <v>276</v>
      </c>
      <c r="E18" s="99">
        <v>244</v>
      </c>
      <c r="F18" s="99">
        <v>58</v>
      </c>
      <c r="G18" s="99">
        <v>16</v>
      </c>
      <c r="H18" s="100">
        <f>1002/C18</f>
        <v>1.6868686868686869</v>
      </c>
      <c r="I18" s="99">
        <v>477</v>
      </c>
      <c r="J18" s="99">
        <v>117</v>
      </c>
      <c r="K18" s="101">
        <f t="shared" si="3"/>
        <v>19.696969696969695</v>
      </c>
      <c r="L18" s="102"/>
    </row>
    <row r="19" spans="1:12" ht="12.75" customHeight="1" x14ac:dyDescent="0.2">
      <c r="A19" s="97" t="s">
        <v>20</v>
      </c>
      <c r="B19" s="98">
        <v>6688</v>
      </c>
      <c r="C19" s="99">
        <f t="shared" si="2"/>
        <v>1211</v>
      </c>
      <c r="D19" s="99">
        <v>608</v>
      </c>
      <c r="E19" s="99">
        <v>469</v>
      </c>
      <c r="F19" s="99">
        <v>108</v>
      </c>
      <c r="G19" s="99">
        <v>26</v>
      </c>
      <c r="H19" s="100">
        <f>1977/C19</f>
        <v>1.6325350949628405</v>
      </c>
      <c r="I19" s="99">
        <v>975</v>
      </c>
      <c r="J19" s="99">
        <v>236</v>
      </c>
      <c r="K19" s="101">
        <f t="shared" si="3"/>
        <v>19.488026424442609</v>
      </c>
      <c r="L19" s="102"/>
    </row>
    <row r="20" spans="1:12" ht="12.75" customHeight="1" x14ac:dyDescent="0.2">
      <c r="A20" s="97" t="s">
        <v>21</v>
      </c>
      <c r="B20" s="98">
        <v>8721</v>
      </c>
      <c r="C20" s="99">
        <f t="shared" si="2"/>
        <v>1595</v>
      </c>
      <c r="D20" s="99">
        <v>807</v>
      </c>
      <c r="E20" s="99">
        <v>612</v>
      </c>
      <c r="F20" s="99">
        <v>143</v>
      </c>
      <c r="G20" s="99">
        <v>33</v>
      </c>
      <c r="H20" s="100">
        <f>2606/C20</f>
        <v>1.6338557993730407</v>
      </c>
      <c r="I20" s="99">
        <v>1272</v>
      </c>
      <c r="J20" s="99">
        <v>323</v>
      </c>
      <c r="K20" s="101">
        <f t="shared" si="3"/>
        <v>20.250783699059561</v>
      </c>
      <c r="L20" s="102"/>
    </row>
    <row r="21" spans="1:12" ht="12.75" customHeight="1" x14ac:dyDescent="0.2">
      <c r="A21" s="97" t="s">
        <v>22</v>
      </c>
      <c r="B21" s="98">
        <v>14088</v>
      </c>
      <c r="C21" s="99">
        <f t="shared" si="2"/>
        <v>2640</v>
      </c>
      <c r="D21" s="99">
        <v>1315</v>
      </c>
      <c r="E21" s="99">
        <v>1011</v>
      </c>
      <c r="F21" s="99">
        <v>243</v>
      </c>
      <c r="G21" s="99">
        <v>71</v>
      </c>
      <c r="H21" s="100">
        <f>4374/C21</f>
        <v>1.6568181818181817</v>
      </c>
      <c r="I21" s="99">
        <v>2135</v>
      </c>
      <c r="J21" s="99">
        <v>505</v>
      </c>
      <c r="K21" s="101">
        <f t="shared" si="3"/>
        <v>19.128787878787879</v>
      </c>
      <c r="L21" s="102"/>
    </row>
    <row r="22" spans="1:12" ht="12.75" customHeight="1" x14ac:dyDescent="0.2">
      <c r="A22" s="97" t="s">
        <v>23</v>
      </c>
      <c r="B22" s="98">
        <v>4560</v>
      </c>
      <c r="C22" s="99">
        <f t="shared" si="2"/>
        <v>951</v>
      </c>
      <c r="D22" s="99">
        <v>506</v>
      </c>
      <c r="E22" s="99">
        <v>319</v>
      </c>
      <c r="F22" s="99">
        <v>91</v>
      </c>
      <c r="G22" s="99">
        <v>35</v>
      </c>
      <c r="H22" s="100">
        <f>1567/C22</f>
        <v>1.647739221871714</v>
      </c>
      <c r="I22" s="99">
        <v>765</v>
      </c>
      <c r="J22" s="99">
        <v>186</v>
      </c>
      <c r="K22" s="101">
        <f t="shared" si="3"/>
        <v>19.558359621451103</v>
      </c>
      <c r="L22" s="102"/>
    </row>
    <row r="23" spans="1:12" ht="12.75" customHeight="1" x14ac:dyDescent="0.2">
      <c r="A23" s="97" t="s">
        <v>24</v>
      </c>
      <c r="B23" s="98">
        <v>14782</v>
      </c>
      <c r="C23" s="99">
        <f t="shared" si="2"/>
        <v>2821</v>
      </c>
      <c r="D23" s="99">
        <v>1373</v>
      </c>
      <c r="E23" s="99">
        <v>1105</v>
      </c>
      <c r="F23" s="99">
        <v>274</v>
      </c>
      <c r="G23" s="99">
        <v>69</v>
      </c>
      <c r="H23" s="100">
        <f>4715/C23</f>
        <v>1.6713931230060262</v>
      </c>
      <c r="I23" s="99">
        <v>2215</v>
      </c>
      <c r="J23" s="99">
        <v>606</v>
      </c>
      <c r="K23" s="101">
        <f t="shared" si="3"/>
        <v>21.481744062389225</v>
      </c>
      <c r="L23" s="102"/>
    </row>
    <row r="24" spans="1:12" ht="12.75" customHeight="1" x14ac:dyDescent="0.2">
      <c r="A24" s="97" t="s">
        <v>25</v>
      </c>
      <c r="B24" s="98">
        <v>11712</v>
      </c>
      <c r="C24" s="99">
        <f t="shared" si="2"/>
        <v>2617</v>
      </c>
      <c r="D24" s="99">
        <v>1280</v>
      </c>
      <c r="E24" s="99">
        <v>984</v>
      </c>
      <c r="F24" s="99">
        <v>281</v>
      </c>
      <c r="G24" s="99">
        <v>72</v>
      </c>
      <c r="H24" s="100">
        <f>4399/C24</f>
        <v>1.6809323653037829</v>
      </c>
      <c r="I24" s="99">
        <v>2062</v>
      </c>
      <c r="J24" s="99">
        <v>555</v>
      </c>
      <c r="K24" s="101">
        <f t="shared" si="3"/>
        <v>21.207489491784486</v>
      </c>
      <c r="L24" s="102"/>
    </row>
    <row r="25" spans="1:12" ht="12.75" customHeight="1" x14ac:dyDescent="0.2">
      <c r="A25" s="97" t="s">
        <v>26</v>
      </c>
      <c r="B25" s="98">
        <v>3244</v>
      </c>
      <c r="C25" s="99">
        <f t="shared" si="2"/>
        <v>640</v>
      </c>
      <c r="D25" s="99">
        <v>347</v>
      </c>
      <c r="E25" s="99">
        <v>240</v>
      </c>
      <c r="F25" s="99">
        <v>39</v>
      </c>
      <c r="G25" s="99">
        <v>14</v>
      </c>
      <c r="H25" s="100">
        <f>1000/C25</f>
        <v>1.5625</v>
      </c>
      <c r="I25" s="99">
        <v>484</v>
      </c>
      <c r="J25" s="99">
        <v>156</v>
      </c>
      <c r="K25" s="101">
        <f t="shared" si="3"/>
        <v>24.375</v>
      </c>
      <c r="L25" s="102"/>
    </row>
    <row r="26" spans="1:12" ht="12.75" customHeight="1" x14ac:dyDescent="0.2">
      <c r="A26" s="97" t="s">
        <v>27</v>
      </c>
      <c r="B26" s="98">
        <v>3967</v>
      </c>
      <c r="C26" s="99">
        <f t="shared" si="2"/>
        <v>861</v>
      </c>
      <c r="D26" s="99">
        <v>429</v>
      </c>
      <c r="E26" s="99">
        <v>354</v>
      </c>
      <c r="F26" s="99">
        <v>64</v>
      </c>
      <c r="G26" s="99">
        <v>14</v>
      </c>
      <c r="H26" s="100">
        <f>1390/C26</f>
        <v>1.6144018583042974</v>
      </c>
      <c r="I26" s="99">
        <v>675</v>
      </c>
      <c r="J26" s="99">
        <v>186</v>
      </c>
      <c r="K26" s="101">
        <f t="shared" si="3"/>
        <v>21.602787456445995</v>
      </c>
      <c r="L26" s="102"/>
    </row>
    <row r="27" spans="1:12" ht="12.75" customHeight="1" x14ac:dyDescent="0.2">
      <c r="A27" s="97" t="s">
        <v>28</v>
      </c>
      <c r="B27" s="98">
        <v>6701</v>
      </c>
      <c r="C27" s="99">
        <f t="shared" si="2"/>
        <v>1134</v>
      </c>
      <c r="D27" s="99">
        <v>573</v>
      </c>
      <c r="E27" s="99">
        <v>444</v>
      </c>
      <c r="F27" s="99">
        <v>94</v>
      </c>
      <c r="G27" s="99">
        <v>23</v>
      </c>
      <c r="H27" s="100">
        <f>1839/C27</f>
        <v>1.6216931216931216</v>
      </c>
      <c r="I27" s="99">
        <v>883</v>
      </c>
      <c r="J27" s="99">
        <v>251</v>
      </c>
      <c r="K27" s="101">
        <f t="shared" si="3"/>
        <v>22.134038800705465</v>
      </c>
      <c r="L27" s="102"/>
    </row>
    <row r="28" spans="1:12" ht="12.75" customHeight="1" x14ac:dyDescent="0.2">
      <c r="A28" s="97" t="s">
        <v>29</v>
      </c>
      <c r="B28" s="98">
        <v>11503</v>
      </c>
      <c r="C28" s="99">
        <f t="shared" si="2"/>
        <v>2286</v>
      </c>
      <c r="D28" s="99">
        <v>1095</v>
      </c>
      <c r="E28" s="99">
        <v>907</v>
      </c>
      <c r="F28" s="99">
        <v>227</v>
      </c>
      <c r="G28" s="99">
        <v>57</v>
      </c>
      <c r="H28" s="100">
        <f>3826/C28</f>
        <v>1.673665791776028</v>
      </c>
      <c r="I28" s="99">
        <v>1793</v>
      </c>
      <c r="J28" s="99">
        <v>493</v>
      </c>
      <c r="K28" s="101">
        <f t="shared" si="3"/>
        <v>21.566054243219597</v>
      </c>
      <c r="L28" s="102"/>
    </row>
    <row r="29" spans="1:12" ht="12.75" customHeight="1" x14ac:dyDescent="0.2">
      <c r="A29" s="97" t="s">
        <v>30</v>
      </c>
      <c r="B29" s="98">
        <v>5619</v>
      </c>
      <c r="C29" s="99">
        <f t="shared" si="2"/>
        <v>1301</v>
      </c>
      <c r="D29" s="99">
        <v>668</v>
      </c>
      <c r="E29" s="99">
        <v>457</v>
      </c>
      <c r="F29" s="99">
        <v>144</v>
      </c>
      <c r="G29" s="99">
        <v>32</v>
      </c>
      <c r="H29" s="100">
        <f>2155/C29</f>
        <v>1.6564181398923905</v>
      </c>
      <c r="I29" s="99">
        <v>1052</v>
      </c>
      <c r="J29" s="99">
        <v>249</v>
      </c>
      <c r="K29" s="101">
        <f t="shared" si="3"/>
        <v>19.139123750960799</v>
      </c>
      <c r="L29" s="102"/>
    </row>
    <row r="30" spans="1:12" ht="12.75" customHeight="1" x14ac:dyDescent="0.2">
      <c r="A30" s="97" t="s">
        <v>31</v>
      </c>
      <c r="B30" s="98">
        <v>8104</v>
      </c>
      <c r="C30" s="99">
        <f t="shared" si="2"/>
        <v>1628</v>
      </c>
      <c r="D30" s="99">
        <v>797</v>
      </c>
      <c r="E30" s="99">
        <v>631</v>
      </c>
      <c r="F30" s="99">
        <v>155</v>
      </c>
      <c r="G30" s="99">
        <v>45</v>
      </c>
      <c r="H30" s="100">
        <f>2713/C30</f>
        <v>1.6664619164619165</v>
      </c>
      <c r="I30" s="99">
        <v>1312</v>
      </c>
      <c r="J30" s="99">
        <v>316</v>
      </c>
      <c r="K30" s="101">
        <f t="shared" si="3"/>
        <v>19.41031941031941</v>
      </c>
      <c r="L30" s="102"/>
    </row>
    <row r="31" spans="1:12" ht="12.75" customHeight="1" x14ac:dyDescent="0.2">
      <c r="A31" s="97" t="s">
        <v>32</v>
      </c>
      <c r="B31" s="98">
        <v>22893</v>
      </c>
      <c r="C31" s="99">
        <f t="shared" si="2"/>
        <v>4038</v>
      </c>
      <c r="D31" s="99">
        <v>1949</v>
      </c>
      <c r="E31" s="99">
        <v>1640</v>
      </c>
      <c r="F31" s="99">
        <v>351</v>
      </c>
      <c r="G31" s="99">
        <v>98</v>
      </c>
      <c r="H31" s="100">
        <f>6704/C31</f>
        <v>1.6602278355621596</v>
      </c>
      <c r="I31" s="99">
        <v>3268</v>
      </c>
      <c r="J31" s="99">
        <v>770</v>
      </c>
      <c r="K31" s="101">
        <f t="shared" si="3"/>
        <v>19.068845963348192</v>
      </c>
      <c r="L31" s="102"/>
    </row>
    <row r="32" spans="1:12" ht="12.75" customHeight="1" x14ac:dyDescent="0.2">
      <c r="A32" s="97" t="s">
        <v>33</v>
      </c>
      <c r="B32" s="98">
        <v>4561</v>
      </c>
      <c r="C32" s="99">
        <f t="shared" si="2"/>
        <v>818</v>
      </c>
      <c r="D32" s="99">
        <v>440</v>
      </c>
      <c r="E32" s="99">
        <v>293</v>
      </c>
      <c r="F32" s="99">
        <v>69</v>
      </c>
      <c r="G32" s="99">
        <v>16</v>
      </c>
      <c r="H32" s="100">
        <f>1316/C32</f>
        <v>1.60880195599022</v>
      </c>
      <c r="I32" s="99">
        <v>651</v>
      </c>
      <c r="J32" s="99">
        <v>167</v>
      </c>
      <c r="K32" s="101">
        <f t="shared" si="3"/>
        <v>20.415647921760392</v>
      </c>
      <c r="L32" s="102"/>
    </row>
    <row r="33" spans="1:12" ht="12.75" customHeight="1" x14ac:dyDescent="0.2">
      <c r="A33" s="97" t="s">
        <v>34</v>
      </c>
      <c r="B33" s="98">
        <v>14011</v>
      </c>
      <c r="C33" s="99">
        <f t="shared" si="2"/>
        <v>3328</v>
      </c>
      <c r="D33" s="99">
        <v>1615</v>
      </c>
      <c r="E33" s="99">
        <v>1315</v>
      </c>
      <c r="F33" s="99">
        <v>311</v>
      </c>
      <c r="G33" s="99">
        <v>87</v>
      </c>
      <c r="H33" s="100">
        <f>5544/C33</f>
        <v>1.6658653846153846</v>
      </c>
      <c r="I33" s="99">
        <v>2709</v>
      </c>
      <c r="J33" s="99">
        <v>619</v>
      </c>
      <c r="K33" s="101">
        <f t="shared" si="3"/>
        <v>18.599759615384613</v>
      </c>
      <c r="L33" s="102"/>
    </row>
    <row r="34" spans="1:12" ht="12.75" customHeight="1" x14ac:dyDescent="0.2">
      <c r="A34" s="97" t="s">
        <v>35</v>
      </c>
      <c r="B34" s="98">
        <v>17382</v>
      </c>
      <c r="C34" s="99">
        <f t="shared" si="2"/>
        <v>3659</v>
      </c>
      <c r="D34" s="99">
        <v>1800</v>
      </c>
      <c r="E34" s="99">
        <v>1352</v>
      </c>
      <c r="F34" s="99">
        <v>411</v>
      </c>
      <c r="G34" s="99">
        <v>96</v>
      </c>
      <c r="H34" s="100">
        <f>6164/C34</f>
        <v>1.684613282317573</v>
      </c>
      <c r="I34" s="99">
        <v>2876</v>
      </c>
      <c r="J34" s="99">
        <v>783</v>
      </c>
      <c r="K34" s="101">
        <f t="shared" si="3"/>
        <v>21.39928942333971</v>
      </c>
      <c r="L34" s="102"/>
    </row>
    <row r="35" spans="1:12" ht="12.75" customHeight="1" x14ac:dyDescent="0.2">
      <c r="A35" s="103" t="s">
        <v>36</v>
      </c>
      <c r="B35" s="99">
        <f>SUM(B17:B34)</f>
        <v>194804</v>
      </c>
      <c r="C35" s="99">
        <f t="shared" si="2"/>
        <v>39155</v>
      </c>
      <c r="D35" s="99">
        <f>SUM(D17:D34)</f>
        <v>19382</v>
      </c>
      <c r="E35" s="99">
        <f>SUM(E17:E34)</f>
        <v>14996</v>
      </c>
      <c r="F35" s="99">
        <f>SUM(F17:F34)</f>
        <v>3796</v>
      </c>
      <c r="G35" s="99">
        <f>SUM(G17:G34)</f>
        <v>981</v>
      </c>
      <c r="H35" s="100">
        <f>65256/C35</f>
        <v>1.6666070744477077</v>
      </c>
      <c r="I35" s="99">
        <f>SUM(I17:I34)</f>
        <v>31102</v>
      </c>
      <c r="J35" s="99">
        <f>SUM(J17:J34)</f>
        <v>8053</v>
      </c>
      <c r="K35" s="101">
        <f t="shared" si="3"/>
        <v>20.566977397522663</v>
      </c>
      <c r="L35" s="102"/>
    </row>
    <row r="36" spans="1:12" ht="6" customHeight="1" x14ac:dyDescent="0.2">
      <c r="A36" s="104"/>
      <c r="B36" s="105"/>
      <c r="C36" s="99"/>
      <c r="D36" s="105"/>
      <c r="E36" s="105"/>
      <c r="F36" s="105"/>
      <c r="G36" s="105"/>
      <c r="H36" s="108"/>
      <c r="I36" s="105"/>
      <c r="J36" s="105"/>
      <c r="K36" s="107"/>
      <c r="L36" s="102"/>
    </row>
    <row r="37" spans="1:12" ht="12.75" customHeight="1" x14ac:dyDescent="0.2">
      <c r="A37" s="103" t="s">
        <v>37</v>
      </c>
      <c r="B37" s="109">
        <f>B15+B35</f>
        <v>301950</v>
      </c>
      <c r="C37" s="110">
        <f>SUM(D37:G37)</f>
        <v>54800</v>
      </c>
      <c r="D37" s="109">
        <f>D15+D35</f>
        <v>27966</v>
      </c>
      <c r="E37" s="109">
        <f>E15+E35</f>
        <v>20347</v>
      </c>
      <c r="F37" s="109">
        <f>F15+F35</f>
        <v>5130</v>
      </c>
      <c r="G37" s="109">
        <f>G15+G35</f>
        <v>1357</v>
      </c>
      <c r="H37" s="100">
        <f>89913/C37</f>
        <v>1.6407481751824817</v>
      </c>
      <c r="I37" s="109">
        <f>I15+I35</f>
        <v>42693</v>
      </c>
      <c r="J37" s="109">
        <f>J15+J35</f>
        <v>12107</v>
      </c>
      <c r="K37" s="111">
        <f>+J37/C37*100</f>
        <v>22.09306569343066</v>
      </c>
      <c r="L37" s="102"/>
    </row>
    <row r="38" spans="1:12" ht="12.75" customHeight="1" x14ac:dyDescent="0.2">
      <c r="A38" s="112" t="s">
        <v>76</v>
      </c>
      <c r="B38" s="113"/>
      <c r="C38" s="114"/>
      <c r="D38" s="114"/>
      <c r="E38" s="114"/>
      <c r="F38" s="114"/>
      <c r="G38" s="115"/>
      <c r="H38" s="114"/>
      <c r="I38" s="114"/>
      <c r="J38" s="114"/>
      <c r="K38" s="114"/>
    </row>
    <row r="39" spans="1:12" ht="12.75" customHeight="1" x14ac:dyDescent="0.2">
      <c r="A39" s="89" t="s">
        <v>91</v>
      </c>
      <c r="G39" s="116"/>
    </row>
    <row r="40" spans="1:12" ht="12.75" customHeight="1" x14ac:dyDescent="0.2"/>
    <row r="41" spans="1:12" ht="12.75" customHeight="1" x14ac:dyDescent="0.2">
      <c r="B41" s="102"/>
      <c r="C41" s="102"/>
      <c r="D41" s="102"/>
      <c r="E41" s="102"/>
      <c r="F41" s="102"/>
      <c r="G41" s="102"/>
      <c r="H41" s="102"/>
      <c r="I41" s="102"/>
      <c r="J41" s="102"/>
      <c r="K41" s="102"/>
    </row>
    <row r="42" spans="1:12" ht="12.75" customHeight="1" x14ac:dyDescent="0.2"/>
    <row r="43" spans="1:12" ht="12.75" customHeight="1" x14ac:dyDescent="0.2"/>
    <row r="44" spans="1:12" ht="12.75" customHeight="1" x14ac:dyDescent="0.2"/>
    <row r="45" spans="1:12" ht="12.75" customHeight="1" x14ac:dyDescent="0.2"/>
    <row r="46" spans="1:12" ht="12.75" customHeight="1" x14ac:dyDescent="0.2"/>
    <row r="47" spans="1:12" ht="12.75" customHeight="1" x14ac:dyDescent="0.2"/>
    <row r="48" spans="1:12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</sheetData>
  <mergeCells count="8">
    <mergeCell ref="A6:A8"/>
    <mergeCell ref="B6:B8"/>
    <mergeCell ref="C6:K6"/>
    <mergeCell ref="C7:C8"/>
    <mergeCell ref="D7:G7"/>
    <mergeCell ref="H7:H8"/>
    <mergeCell ref="I7:I8"/>
    <mergeCell ref="J7:K7"/>
  </mergeCells>
  <phoneticPr fontId="4" type="noConversion"/>
  <pageMargins left="0.59055118110236204" right="0.59055118110236204" top="0.39370078740157499" bottom="0.59055118110236204" header="0.47244094488189003" footer="0"/>
  <pageSetup paperSize="9" orientation="portrait" horizontalDpi="300" verticalDpi="300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/>
  <dimension ref="A1:L67"/>
  <sheetViews>
    <sheetView workbookViewId="0">
      <selection activeCell="M1" sqref="M1:N65536"/>
    </sheetView>
  </sheetViews>
  <sheetFormatPr baseColWidth="10" defaultColWidth="9.83203125" defaultRowHeight="12.75" customHeight="1" x14ac:dyDescent="0.2"/>
  <cols>
    <col min="1" max="1" width="20.83203125" style="51" customWidth="1"/>
    <col min="2" max="3" width="9.6640625" style="51" customWidth="1"/>
    <col min="4" max="9" width="9" style="51" customWidth="1"/>
    <col min="10" max="10" width="9.1640625" style="51" customWidth="1"/>
    <col min="11" max="11" width="10" style="51" customWidth="1"/>
    <col min="12" max="16384" width="9.83203125" style="51"/>
  </cols>
  <sheetData>
    <row r="1" spans="1:12" ht="12.75" customHeight="1" x14ac:dyDescent="0.2">
      <c r="A1" s="49" t="s">
        <v>52</v>
      </c>
      <c r="B1" s="49"/>
      <c r="C1" s="49"/>
      <c r="D1" s="49"/>
      <c r="E1" s="49"/>
      <c r="F1" s="49"/>
      <c r="G1" s="49"/>
      <c r="H1" s="50"/>
      <c r="I1" s="50"/>
      <c r="J1" s="50"/>
      <c r="K1" s="50"/>
    </row>
    <row r="3" spans="1:12" ht="12" customHeight="1" x14ac:dyDescent="0.2">
      <c r="A3" s="52" t="s">
        <v>53</v>
      </c>
      <c r="B3" s="53"/>
      <c r="C3" s="53"/>
      <c r="D3" s="53"/>
      <c r="E3" s="53"/>
      <c r="F3" s="53"/>
      <c r="G3" s="53"/>
      <c r="H3" s="53"/>
      <c r="I3" s="53"/>
      <c r="J3" s="53"/>
      <c r="K3" s="53"/>
    </row>
    <row r="4" spans="1:12" ht="12" customHeight="1" x14ac:dyDescent="0.2">
      <c r="A4" s="52" t="s">
        <v>0</v>
      </c>
      <c r="B4" s="53"/>
      <c r="C4" s="53"/>
      <c r="D4" s="53"/>
      <c r="E4" s="53"/>
      <c r="F4" s="53"/>
      <c r="G4" s="53"/>
      <c r="H4" s="53"/>
      <c r="I4" s="53"/>
      <c r="J4" s="53"/>
      <c r="K4" s="53"/>
    </row>
    <row r="5" spans="1:12" ht="12" customHeight="1" x14ac:dyDescent="0.2">
      <c r="A5" s="54"/>
      <c r="B5" s="55"/>
      <c r="C5" s="55"/>
      <c r="D5" s="55"/>
      <c r="E5" s="55"/>
      <c r="F5" s="55"/>
      <c r="G5" s="55"/>
      <c r="H5" s="55"/>
      <c r="I5" s="55"/>
      <c r="J5" s="55"/>
      <c r="K5" s="55"/>
    </row>
    <row r="6" spans="1:12" ht="12" customHeight="1" x14ac:dyDescent="0.2">
      <c r="A6" s="172" t="s">
        <v>2</v>
      </c>
      <c r="B6" s="175" t="s">
        <v>86</v>
      </c>
      <c r="C6" s="56" t="s">
        <v>1</v>
      </c>
      <c r="D6" s="56"/>
      <c r="E6" s="56"/>
      <c r="F6" s="56"/>
      <c r="G6" s="56"/>
      <c r="H6" s="56"/>
      <c r="I6" s="56"/>
      <c r="J6" s="56"/>
      <c r="K6" s="56"/>
    </row>
    <row r="7" spans="1:12" ht="12" customHeight="1" x14ac:dyDescent="0.2">
      <c r="A7" s="173"/>
      <c r="B7" s="176"/>
      <c r="C7" s="178" t="s">
        <v>3</v>
      </c>
      <c r="D7" s="56" t="s">
        <v>4</v>
      </c>
      <c r="E7" s="56"/>
      <c r="F7" s="56"/>
      <c r="G7" s="56"/>
      <c r="H7" s="57" t="s">
        <v>5</v>
      </c>
      <c r="I7" s="178" t="s">
        <v>6</v>
      </c>
      <c r="J7" s="58" t="s">
        <v>7</v>
      </c>
      <c r="K7" s="56"/>
    </row>
    <row r="8" spans="1:12" ht="12" customHeight="1" x14ac:dyDescent="0.2">
      <c r="A8" s="174"/>
      <c r="B8" s="177"/>
      <c r="C8" s="179"/>
      <c r="D8" s="83">
        <v>1</v>
      </c>
      <c r="E8" s="84">
        <v>2</v>
      </c>
      <c r="F8" s="61">
        <v>3</v>
      </c>
      <c r="G8" s="62" t="s">
        <v>8</v>
      </c>
      <c r="H8" s="63" t="s">
        <v>9</v>
      </c>
      <c r="I8" s="179"/>
      <c r="J8" s="60" t="s">
        <v>10</v>
      </c>
      <c r="K8" s="64" t="s">
        <v>11</v>
      </c>
    </row>
    <row r="9" spans="1:12" ht="12" customHeight="1" x14ac:dyDescent="0.2">
      <c r="A9" s="59"/>
      <c r="B9" s="65"/>
      <c r="C9" s="65"/>
      <c r="D9" s="65"/>
      <c r="E9" s="65"/>
      <c r="F9" s="65"/>
      <c r="G9" s="65"/>
      <c r="H9" s="65"/>
      <c r="I9" s="65"/>
      <c r="J9" s="65"/>
      <c r="K9" s="65"/>
    </row>
    <row r="10" spans="1:12" ht="12" customHeight="1" x14ac:dyDescent="0.2">
      <c r="A10" s="66" t="s">
        <v>12</v>
      </c>
      <c r="B10" s="82">
        <v>13495</v>
      </c>
      <c r="C10" s="67">
        <f>SUM(D10:G10)</f>
        <v>1489</v>
      </c>
      <c r="D10" s="67">
        <v>853</v>
      </c>
      <c r="E10" s="67">
        <v>471</v>
      </c>
      <c r="F10" s="67">
        <v>120</v>
      </c>
      <c r="G10" s="67">
        <v>45</v>
      </c>
      <c r="H10" s="68">
        <f>2366/C10</f>
        <v>1.5889858965748824</v>
      </c>
      <c r="I10" s="67">
        <v>1101</v>
      </c>
      <c r="J10" s="67">
        <v>388</v>
      </c>
      <c r="K10" s="69">
        <f t="shared" ref="K10:K15" si="0">+J10/C10*100</f>
        <v>26.057756883814641</v>
      </c>
      <c r="L10" s="27"/>
    </row>
    <row r="11" spans="1:12" ht="12" customHeight="1" x14ac:dyDescent="0.2">
      <c r="A11" s="66" t="s">
        <v>13</v>
      </c>
      <c r="B11" s="82">
        <v>13154</v>
      </c>
      <c r="C11" s="67">
        <f>SUM(D11:G11)</f>
        <v>2403</v>
      </c>
      <c r="D11" s="67">
        <v>1266</v>
      </c>
      <c r="E11" s="67">
        <v>816</v>
      </c>
      <c r="F11" s="67">
        <v>255</v>
      </c>
      <c r="G11" s="67">
        <v>66</v>
      </c>
      <c r="H11" s="68">
        <f>3952/C11</f>
        <v>1.6446109030378693</v>
      </c>
      <c r="I11" s="67">
        <v>1848</v>
      </c>
      <c r="J11" s="67">
        <v>555</v>
      </c>
      <c r="K11" s="69">
        <f t="shared" si="0"/>
        <v>23.096129837702872</v>
      </c>
      <c r="L11" s="27"/>
    </row>
    <row r="12" spans="1:12" ht="12" customHeight="1" x14ac:dyDescent="0.2">
      <c r="A12" s="66" t="s">
        <v>14</v>
      </c>
      <c r="B12" s="82">
        <v>25584</v>
      </c>
      <c r="C12" s="67">
        <f>SUM(D12:G12)</f>
        <v>4372</v>
      </c>
      <c r="D12" s="67">
        <v>2392</v>
      </c>
      <c r="E12" s="67">
        <v>1507</v>
      </c>
      <c r="F12" s="67">
        <v>361</v>
      </c>
      <c r="G12" s="67">
        <v>112</v>
      </c>
      <c r="H12" s="68">
        <f>6971/C12</f>
        <v>1.5944647758462946</v>
      </c>
      <c r="I12" s="67">
        <v>3184</v>
      </c>
      <c r="J12" s="67">
        <v>1188</v>
      </c>
      <c r="K12" s="69">
        <f t="shared" si="0"/>
        <v>27.17291857273559</v>
      </c>
      <c r="L12" s="27"/>
    </row>
    <row r="13" spans="1:12" ht="12" customHeight="1" x14ac:dyDescent="0.2">
      <c r="A13" s="66" t="s">
        <v>15</v>
      </c>
      <c r="B13" s="82">
        <v>24262</v>
      </c>
      <c r="C13" s="67">
        <f>SUM(D13:G13)</f>
        <v>3621</v>
      </c>
      <c r="D13" s="67">
        <v>1955</v>
      </c>
      <c r="E13" s="67">
        <v>1244</v>
      </c>
      <c r="F13" s="67">
        <v>336</v>
      </c>
      <c r="G13" s="67">
        <v>86</v>
      </c>
      <c r="H13" s="68">
        <f>5819/C13</f>
        <v>1.6070146368406517</v>
      </c>
      <c r="I13" s="67">
        <v>2776</v>
      </c>
      <c r="J13" s="67">
        <v>845</v>
      </c>
      <c r="K13" s="69">
        <f t="shared" si="0"/>
        <v>23.336095001380833</v>
      </c>
      <c r="L13" s="27"/>
    </row>
    <row r="14" spans="1:12" ht="12" customHeight="1" x14ac:dyDescent="0.2">
      <c r="A14" s="66" t="s">
        <v>16</v>
      </c>
      <c r="B14" s="82">
        <v>29551</v>
      </c>
      <c r="C14" s="67">
        <f>SUM(D14:G14)</f>
        <v>3889</v>
      </c>
      <c r="D14" s="67">
        <v>2195</v>
      </c>
      <c r="E14" s="67">
        <v>1310</v>
      </c>
      <c r="F14" s="67">
        <v>299</v>
      </c>
      <c r="G14" s="67">
        <v>85</v>
      </c>
      <c r="H14" s="68">
        <f>6073/C14</f>
        <v>1.5615839547441501</v>
      </c>
      <c r="I14" s="67">
        <v>2911</v>
      </c>
      <c r="J14" s="67">
        <v>978</v>
      </c>
      <c r="K14" s="69">
        <f t="shared" si="0"/>
        <v>25.147852918488045</v>
      </c>
      <c r="L14" s="27"/>
    </row>
    <row r="15" spans="1:12" ht="12" customHeight="1" x14ac:dyDescent="0.2">
      <c r="A15" s="70" t="s">
        <v>17</v>
      </c>
      <c r="B15" s="71">
        <f t="shared" ref="B15:G15" si="1">SUM(B10:B14)</f>
        <v>106046</v>
      </c>
      <c r="C15" s="71">
        <f t="shared" si="1"/>
        <v>15774</v>
      </c>
      <c r="D15" s="71">
        <f t="shared" si="1"/>
        <v>8661</v>
      </c>
      <c r="E15" s="71">
        <f t="shared" si="1"/>
        <v>5348</v>
      </c>
      <c r="F15" s="71">
        <f t="shared" si="1"/>
        <v>1371</v>
      </c>
      <c r="G15" s="71">
        <f t="shared" si="1"/>
        <v>394</v>
      </c>
      <c r="H15" s="68">
        <f>25181/C15</f>
        <v>1.596361100545201</v>
      </c>
      <c r="I15" s="71">
        <f>SUM(I10:I14)</f>
        <v>11820</v>
      </c>
      <c r="J15" s="71">
        <f>SUM(J10:J14)</f>
        <v>3954</v>
      </c>
      <c r="K15" s="69">
        <f t="shared" si="0"/>
        <v>25.06656523392925</v>
      </c>
    </row>
    <row r="16" spans="1:12" ht="12" customHeight="1" x14ac:dyDescent="0.2">
      <c r="A16" s="59"/>
      <c r="B16" s="71"/>
      <c r="C16" s="71"/>
      <c r="D16" s="71"/>
      <c r="E16" s="71"/>
      <c r="F16" s="71"/>
      <c r="G16" s="71"/>
      <c r="H16" s="72"/>
      <c r="I16" s="71"/>
      <c r="J16" s="71"/>
      <c r="K16" s="69"/>
    </row>
    <row r="17" spans="1:12" ht="12" customHeight="1" x14ac:dyDescent="0.2">
      <c r="A17" s="66" t="s">
        <v>18</v>
      </c>
      <c r="B17" s="82">
        <v>32879</v>
      </c>
      <c r="C17" s="71">
        <f t="shared" ref="C17:C35" si="2">SUM(D17:G17)</f>
        <v>6994</v>
      </c>
      <c r="D17" s="71">
        <v>3532</v>
      </c>
      <c r="E17" s="71">
        <v>2566</v>
      </c>
      <c r="F17" s="71">
        <v>715</v>
      </c>
      <c r="G17" s="71">
        <v>181</v>
      </c>
      <c r="H17" s="68">
        <f>11583/C17</f>
        <v>1.6561338289962826</v>
      </c>
      <c r="I17" s="71">
        <v>5486</v>
      </c>
      <c r="J17" s="71">
        <v>1508</v>
      </c>
      <c r="K17" s="69">
        <f t="shared" ref="K17:K35" si="3">+J17/C17*100</f>
        <v>21.561338289962826</v>
      </c>
      <c r="L17" s="27"/>
    </row>
    <row r="18" spans="1:12" ht="12" customHeight="1" x14ac:dyDescent="0.2">
      <c r="A18" s="66" t="s">
        <v>19</v>
      </c>
      <c r="B18" s="82">
        <v>3118</v>
      </c>
      <c r="C18" s="71">
        <f t="shared" si="2"/>
        <v>571</v>
      </c>
      <c r="D18" s="71">
        <v>279</v>
      </c>
      <c r="E18" s="71">
        <v>225</v>
      </c>
      <c r="F18" s="71">
        <v>52</v>
      </c>
      <c r="G18" s="71">
        <v>15</v>
      </c>
      <c r="H18" s="68">
        <f>951/C18</f>
        <v>1.6654991243432575</v>
      </c>
      <c r="I18" s="71">
        <v>447</v>
      </c>
      <c r="J18" s="71">
        <v>124</v>
      </c>
      <c r="K18" s="69">
        <f t="shared" si="3"/>
        <v>21.716287215411558</v>
      </c>
      <c r="L18" s="27"/>
    </row>
    <row r="19" spans="1:12" ht="12" customHeight="1" x14ac:dyDescent="0.2">
      <c r="A19" s="66" t="s">
        <v>20</v>
      </c>
      <c r="B19" s="82">
        <v>6644</v>
      </c>
      <c r="C19" s="71">
        <f t="shared" si="2"/>
        <v>1200</v>
      </c>
      <c r="D19" s="71">
        <v>599</v>
      </c>
      <c r="E19" s="71">
        <v>468</v>
      </c>
      <c r="F19" s="71">
        <v>112</v>
      </c>
      <c r="G19" s="71">
        <v>21</v>
      </c>
      <c r="H19" s="68">
        <f>1959/C19</f>
        <v>1.6325000000000001</v>
      </c>
      <c r="I19" s="71">
        <v>976</v>
      </c>
      <c r="J19" s="71">
        <v>224</v>
      </c>
      <c r="K19" s="69">
        <f t="shared" si="3"/>
        <v>18.666666666666668</v>
      </c>
      <c r="L19" s="27"/>
    </row>
    <row r="20" spans="1:12" ht="12" customHeight="1" x14ac:dyDescent="0.2">
      <c r="A20" s="66" t="s">
        <v>21</v>
      </c>
      <c r="B20" s="82">
        <v>8702</v>
      </c>
      <c r="C20" s="71">
        <f t="shared" si="2"/>
        <v>1571</v>
      </c>
      <c r="D20" s="71">
        <v>782</v>
      </c>
      <c r="E20" s="71">
        <v>616</v>
      </c>
      <c r="F20" s="71">
        <v>141</v>
      </c>
      <c r="G20" s="71">
        <v>32</v>
      </c>
      <c r="H20" s="68">
        <f>2580/C20</f>
        <v>1.6422660725652451</v>
      </c>
      <c r="I20" s="71">
        <v>1242</v>
      </c>
      <c r="J20" s="71">
        <v>329</v>
      </c>
      <c r="K20" s="69">
        <f t="shared" si="3"/>
        <v>20.942075111394018</v>
      </c>
      <c r="L20" s="27"/>
    </row>
    <row r="21" spans="1:12" ht="12" customHeight="1" x14ac:dyDescent="0.2">
      <c r="A21" s="66" t="s">
        <v>22</v>
      </c>
      <c r="B21" s="82">
        <v>14005</v>
      </c>
      <c r="C21" s="71">
        <f t="shared" si="2"/>
        <v>2635</v>
      </c>
      <c r="D21" s="71">
        <v>1310</v>
      </c>
      <c r="E21" s="71">
        <v>1006</v>
      </c>
      <c r="F21" s="71">
        <v>244</v>
      </c>
      <c r="G21" s="71">
        <v>75</v>
      </c>
      <c r="H21" s="68">
        <f>4381/C21</f>
        <v>1.6626185958254269</v>
      </c>
      <c r="I21" s="71">
        <v>2135</v>
      </c>
      <c r="J21" s="71">
        <v>500</v>
      </c>
      <c r="K21" s="69">
        <f t="shared" si="3"/>
        <v>18.975332068311197</v>
      </c>
      <c r="L21" s="27"/>
    </row>
    <row r="22" spans="1:12" ht="12" customHeight="1" x14ac:dyDescent="0.2">
      <c r="A22" s="66" t="s">
        <v>23</v>
      </c>
      <c r="B22" s="82">
        <v>4548</v>
      </c>
      <c r="C22" s="71">
        <f t="shared" si="2"/>
        <v>957</v>
      </c>
      <c r="D22" s="71">
        <v>499</v>
      </c>
      <c r="E22" s="71">
        <v>328</v>
      </c>
      <c r="F22" s="71">
        <v>98</v>
      </c>
      <c r="G22" s="71">
        <v>32</v>
      </c>
      <c r="H22" s="68">
        <f>1584/C22</f>
        <v>1.6551724137931034</v>
      </c>
      <c r="I22" s="71">
        <v>749</v>
      </c>
      <c r="J22" s="71">
        <v>208</v>
      </c>
      <c r="K22" s="69">
        <f t="shared" si="3"/>
        <v>21.734587251828628</v>
      </c>
      <c r="L22" s="27"/>
    </row>
    <row r="23" spans="1:12" ht="12" customHeight="1" x14ac:dyDescent="0.2">
      <c r="A23" s="66" t="s">
        <v>24</v>
      </c>
      <c r="B23" s="82">
        <v>14692</v>
      </c>
      <c r="C23" s="71">
        <f t="shared" si="2"/>
        <v>2800</v>
      </c>
      <c r="D23" s="71">
        <v>1348</v>
      </c>
      <c r="E23" s="71">
        <v>1114</v>
      </c>
      <c r="F23" s="71">
        <v>276</v>
      </c>
      <c r="G23" s="71">
        <v>62</v>
      </c>
      <c r="H23" s="68">
        <f>4681/C23</f>
        <v>1.6717857142857142</v>
      </c>
      <c r="I23" s="71">
        <v>2210</v>
      </c>
      <c r="J23" s="71">
        <v>590</v>
      </c>
      <c r="K23" s="69">
        <f t="shared" si="3"/>
        <v>21.071428571428573</v>
      </c>
      <c r="L23" s="27"/>
    </row>
    <row r="24" spans="1:12" ht="12" customHeight="1" x14ac:dyDescent="0.2">
      <c r="A24" s="66" t="s">
        <v>25</v>
      </c>
      <c r="B24" s="82">
        <v>11722</v>
      </c>
      <c r="C24" s="71">
        <f t="shared" si="2"/>
        <v>2685</v>
      </c>
      <c r="D24" s="71">
        <v>1307</v>
      </c>
      <c r="E24" s="71">
        <v>1009</v>
      </c>
      <c r="F24" s="71">
        <v>285</v>
      </c>
      <c r="G24" s="71">
        <v>84</v>
      </c>
      <c r="H24" s="68">
        <f>4545/C24</f>
        <v>1.6927374301675977</v>
      </c>
      <c r="I24" s="71">
        <v>2121</v>
      </c>
      <c r="J24" s="71">
        <v>564</v>
      </c>
      <c r="K24" s="69">
        <f t="shared" si="3"/>
        <v>21.005586592178773</v>
      </c>
      <c r="L24" s="27"/>
    </row>
    <row r="25" spans="1:12" ht="12" customHeight="1" x14ac:dyDescent="0.2">
      <c r="A25" s="66" t="s">
        <v>26</v>
      </c>
      <c r="B25" s="82">
        <v>3278</v>
      </c>
      <c r="C25" s="71">
        <f t="shared" si="2"/>
        <v>642</v>
      </c>
      <c r="D25" s="71">
        <v>343</v>
      </c>
      <c r="E25" s="71">
        <v>240</v>
      </c>
      <c r="F25" s="71">
        <v>44</v>
      </c>
      <c r="G25" s="71">
        <v>15</v>
      </c>
      <c r="H25" s="68">
        <f>1015/C25</f>
        <v>1.5809968847352025</v>
      </c>
      <c r="I25" s="71">
        <v>492</v>
      </c>
      <c r="J25" s="71">
        <v>150</v>
      </c>
      <c r="K25" s="69">
        <f t="shared" si="3"/>
        <v>23.364485981308412</v>
      </c>
      <c r="L25" s="27"/>
    </row>
    <row r="26" spans="1:12" ht="12" customHeight="1" x14ac:dyDescent="0.2">
      <c r="A26" s="66" t="s">
        <v>27</v>
      </c>
      <c r="B26" s="82">
        <v>3943</v>
      </c>
      <c r="C26" s="71">
        <f t="shared" si="2"/>
        <v>844</v>
      </c>
      <c r="D26" s="71">
        <v>402</v>
      </c>
      <c r="E26" s="71">
        <v>361</v>
      </c>
      <c r="F26" s="71">
        <v>67</v>
      </c>
      <c r="G26" s="71">
        <v>14</v>
      </c>
      <c r="H26" s="68">
        <f>1386/C26</f>
        <v>1.6421800947867298</v>
      </c>
      <c r="I26" s="71">
        <v>657</v>
      </c>
      <c r="J26" s="71">
        <v>187</v>
      </c>
      <c r="K26" s="69">
        <f t="shared" si="3"/>
        <v>22.156398104265403</v>
      </c>
      <c r="L26" s="27"/>
    </row>
    <row r="27" spans="1:12" ht="12" customHeight="1" x14ac:dyDescent="0.2">
      <c r="A27" s="66" t="s">
        <v>28</v>
      </c>
      <c r="B27" s="82">
        <v>6688</v>
      </c>
      <c r="C27" s="71">
        <f t="shared" si="2"/>
        <v>1164</v>
      </c>
      <c r="D27" s="71">
        <v>594</v>
      </c>
      <c r="E27" s="71">
        <v>447</v>
      </c>
      <c r="F27" s="71">
        <v>98</v>
      </c>
      <c r="G27" s="71">
        <v>25</v>
      </c>
      <c r="H27" s="68">
        <f>1886/C27</f>
        <v>1.6202749140893471</v>
      </c>
      <c r="I27" s="71">
        <v>918</v>
      </c>
      <c r="J27" s="71">
        <v>246</v>
      </c>
      <c r="K27" s="69">
        <f t="shared" si="3"/>
        <v>21.134020618556701</v>
      </c>
      <c r="L27" s="27"/>
    </row>
    <row r="28" spans="1:12" ht="12" customHeight="1" x14ac:dyDescent="0.2">
      <c r="A28" s="66" t="s">
        <v>29</v>
      </c>
      <c r="B28" s="82">
        <v>11522</v>
      </c>
      <c r="C28" s="71">
        <f t="shared" si="2"/>
        <v>2270</v>
      </c>
      <c r="D28" s="71">
        <v>1091</v>
      </c>
      <c r="E28" s="71">
        <v>878</v>
      </c>
      <c r="F28" s="71">
        <v>243</v>
      </c>
      <c r="G28" s="71">
        <v>58</v>
      </c>
      <c r="H28" s="68">
        <f>3817/C28</f>
        <v>1.6814977973568281</v>
      </c>
      <c r="I28" s="71">
        <v>1764</v>
      </c>
      <c r="J28" s="71">
        <v>506</v>
      </c>
      <c r="K28" s="69">
        <f t="shared" si="3"/>
        <v>22.290748898678416</v>
      </c>
      <c r="L28" s="27"/>
    </row>
    <row r="29" spans="1:12" ht="12" customHeight="1" x14ac:dyDescent="0.2">
      <c r="A29" s="66" t="s">
        <v>30</v>
      </c>
      <c r="B29" s="82">
        <v>5579</v>
      </c>
      <c r="C29" s="71">
        <f t="shared" si="2"/>
        <v>1322</v>
      </c>
      <c r="D29" s="71">
        <v>679</v>
      </c>
      <c r="E29" s="71">
        <v>468</v>
      </c>
      <c r="F29" s="71">
        <v>145</v>
      </c>
      <c r="G29" s="71">
        <v>30</v>
      </c>
      <c r="H29" s="68">
        <f>2178/C29</f>
        <v>1.6475037821482603</v>
      </c>
      <c r="I29" s="71">
        <v>1068</v>
      </c>
      <c r="J29" s="71">
        <v>254</v>
      </c>
      <c r="K29" s="69">
        <f t="shared" si="3"/>
        <v>19.213313161875945</v>
      </c>
      <c r="L29" s="27"/>
    </row>
    <row r="30" spans="1:12" ht="12" customHeight="1" x14ac:dyDescent="0.2">
      <c r="A30" s="66" t="s">
        <v>31</v>
      </c>
      <c r="B30" s="82">
        <v>7928</v>
      </c>
      <c r="C30" s="71">
        <f t="shared" si="2"/>
        <v>1620</v>
      </c>
      <c r="D30" s="71">
        <v>816</v>
      </c>
      <c r="E30" s="71">
        <v>605</v>
      </c>
      <c r="F30" s="71">
        <v>155</v>
      </c>
      <c r="G30" s="71">
        <v>44</v>
      </c>
      <c r="H30" s="68">
        <f>2677/C30</f>
        <v>1.6524691358024692</v>
      </c>
      <c r="I30" s="71">
        <v>1314</v>
      </c>
      <c r="J30" s="71">
        <v>306</v>
      </c>
      <c r="K30" s="69">
        <f t="shared" si="3"/>
        <v>18.888888888888889</v>
      </c>
      <c r="L30" s="27"/>
    </row>
    <row r="31" spans="1:12" ht="12" customHeight="1" x14ac:dyDescent="0.2">
      <c r="A31" s="66" t="s">
        <v>32</v>
      </c>
      <c r="B31" s="82">
        <v>22548</v>
      </c>
      <c r="C31" s="71">
        <f t="shared" si="2"/>
        <v>4016</v>
      </c>
      <c r="D31" s="71">
        <v>1966</v>
      </c>
      <c r="E31" s="71">
        <v>1612</v>
      </c>
      <c r="F31" s="71">
        <v>344</v>
      </c>
      <c r="G31" s="71">
        <v>94</v>
      </c>
      <c r="H31" s="68">
        <f>6632/C31</f>
        <v>1.6513944223107571</v>
      </c>
      <c r="I31" s="71">
        <v>3245</v>
      </c>
      <c r="J31" s="71">
        <v>771</v>
      </c>
      <c r="K31" s="69">
        <f t="shared" si="3"/>
        <v>19.198207171314742</v>
      </c>
      <c r="L31" s="27"/>
    </row>
    <row r="32" spans="1:12" ht="12" customHeight="1" x14ac:dyDescent="0.2">
      <c r="A32" s="66" t="s">
        <v>33</v>
      </c>
      <c r="B32" s="82">
        <v>4594</v>
      </c>
      <c r="C32" s="71">
        <f t="shared" si="2"/>
        <v>814</v>
      </c>
      <c r="D32" s="71">
        <v>420</v>
      </c>
      <c r="E32" s="71">
        <v>308</v>
      </c>
      <c r="F32" s="71">
        <v>69</v>
      </c>
      <c r="G32" s="71">
        <v>17</v>
      </c>
      <c r="H32" s="68">
        <f>1331/C32</f>
        <v>1.6351351351351351</v>
      </c>
      <c r="I32" s="71">
        <v>648</v>
      </c>
      <c r="J32" s="71">
        <v>166</v>
      </c>
      <c r="K32" s="69">
        <f t="shared" si="3"/>
        <v>20.393120393120391</v>
      </c>
      <c r="L32" s="27"/>
    </row>
    <row r="33" spans="1:12" ht="12" customHeight="1" x14ac:dyDescent="0.2">
      <c r="A33" s="66" t="s">
        <v>34</v>
      </c>
      <c r="B33" s="82">
        <v>13971</v>
      </c>
      <c r="C33" s="71">
        <f t="shared" si="2"/>
        <v>3419</v>
      </c>
      <c r="D33" s="71">
        <v>1618</v>
      </c>
      <c r="E33" s="71">
        <v>1391</v>
      </c>
      <c r="F33" s="71">
        <v>320</v>
      </c>
      <c r="G33" s="71">
        <v>90</v>
      </c>
      <c r="H33" s="68">
        <f>5739/C33</f>
        <v>1.6785609827434922</v>
      </c>
      <c r="I33" s="71">
        <v>2800</v>
      </c>
      <c r="J33" s="71">
        <v>619</v>
      </c>
      <c r="K33" s="69">
        <f t="shared" si="3"/>
        <v>18.104708979233695</v>
      </c>
      <c r="L33" s="27"/>
    </row>
    <row r="34" spans="1:12" ht="12" customHeight="1" x14ac:dyDescent="0.2">
      <c r="A34" s="66" t="s">
        <v>35</v>
      </c>
      <c r="B34" s="82">
        <v>17254</v>
      </c>
      <c r="C34" s="71">
        <f t="shared" si="2"/>
        <v>3708</v>
      </c>
      <c r="D34" s="71">
        <v>1855</v>
      </c>
      <c r="E34" s="71">
        <v>1365</v>
      </c>
      <c r="F34" s="71">
        <v>390</v>
      </c>
      <c r="G34" s="71">
        <v>98</v>
      </c>
      <c r="H34" s="68">
        <f>6190/C34</f>
        <v>1.6693635382955772</v>
      </c>
      <c r="I34" s="71">
        <v>2904</v>
      </c>
      <c r="J34" s="71">
        <v>804</v>
      </c>
      <c r="K34" s="69">
        <f t="shared" si="3"/>
        <v>21.68284789644013</v>
      </c>
      <c r="L34" s="27"/>
    </row>
    <row r="35" spans="1:12" ht="12" customHeight="1" x14ac:dyDescent="0.2">
      <c r="A35" s="70" t="s">
        <v>36</v>
      </c>
      <c r="B35" s="71">
        <f>SUM(B17:B34)</f>
        <v>193615</v>
      </c>
      <c r="C35" s="71">
        <f t="shared" si="2"/>
        <v>39232</v>
      </c>
      <c r="D35" s="67">
        <f>SUM(D17:D34)</f>
        <v>19440</v>
      </c>
      <c r="E35" s="67">
        <f>SUM(E17:E34)</f>
        <v>15007</v>
      </c>
      <c r="F35" s="67">
        <f>SUM(F17:F34)</f>
        <v>3798</v>
      </c>
      <c r="G35" s="67">
        <f>SUM(G17:G34)</f>
        <v>987</v>
      </c>
      <c r="H35" s="68">
        <f>65115/C35</f>
        <v>1.6597420473083198</v>
      </c>
      <c r="I35" s="71">
        <f>SUM(I17:I34)</f>
        <v>31176</v>
      </c>
      <c r="J35" s="71">
        <f>SUM(J17:J34)</f>
        <v>8056</v>
      </c>
      <c r="K35" s="69">
        <f t="shared" si="3"/>
        <v>20.534257748776508</v>
      </c>
    </row>
    <row r="36" spans="1:12" ht="12" customHeight="1" x14ac:dyDescent="0.2">
      <c r="A36" s="59"/>
      <c r="B36" s="71"/>
      <c r="C36" s="71"/>
      <c r="D36" s="71"/>
      <c r="E36" s="71"/>
      <c r="F36" s="71"/>
      <c r="G36" s="71"/>
      <c r="H36" s="73"/>
      <c r="I36" s="71"/>
      <c r="J36" s="71"/>
      <c r="K36" s="69"/>
    </row>
    <row r="37" spans="1:12" ht="12" customHeight="1" x14ac:dyDescent="0.2">
      <c r="A37" s="70" t="s">
        <v>37</v>
      </c>
      <c r="B37" s="71">
        <f>B15+B35</f>
        <v>299661</v>
      </c>
      <c r="C37" s="71">
        <f>SUM(D37:G37)</f>
        <v>55006</v>
      </c>
      <c r="D37" s="71">
        <f>D15+D35</f>
        <v>28101</v>
      </c>
      <c r="E37" s="71">
        <f>E15+E35</f>
        <v>20355</v>
      </c>
      <c r="F37" s="71">
        <f>F15+F35</f>
        <v>5169</v>
      </c>
      <c r="G37" s="71">
        <f>G15+G35</f>
        <v>1381</v>
      </c>
      <c r="H37" s="68">
        <f>90296/C37</f>
        <v>1.6415663745773188</v>
      </c>
      <c r="I37" s="71">
        <f>I15+I35</f>
        <v>42996</v>
      </c>
      <c r="J37" s="71">
        <f>J15+J35</f>
        <v>12010</v>
      </c>
      <c r="K37" s="69">
        <f>+J37/C37*100</f>
        <v>21.833981747445733</v>
      </c>
      <c r="L37" s="71"/>
    </row>
    <row r="38" spans="1:12" ht="12" customHeight="1" x14ac:dyDescent="0.2">
      <c r="A38" s="74" t="s">
        <v>38</v>
      </c>
      <c r="B38" s="75"/>
      <c r="C38" s="65"/>
      <c r="D38" s="65"/>
      <c r="E38" s="65"/>
      <c r="F38" s="65"/>
      <c r="G38" s="76"/>
      <c r="H38" s="65"/>
      <c r="I38" s="65"/>
      <c r="J38" s="65"/>
      <c r="K38" s="65"/>
    </row>
    <row r="39" spans="1:12" ht="12" customHeight="1" x14ac:dyDescent="0.2">
      <c r="A39" s="77" t="s">
        <v>55</v>
      </c>
      <c r="B39" s="65"/>
      <c r="C39" s="65"/>
      <c r="D39" s="65"/>
      <c r="E39" s="65"/>
      <c r="F39" s="65"/>
      <c r="G39" s="76"/>
      <c r="H39" s="65"/>
      <c r="I39" s="65"/>
      <c r="J39" s="65"/>
      <c r="K39" s="65"/>
    </row>
    <row r="40" spans="1:12" ht="12" customHeight="1" x14ac:dyDescent="0.2"/>
    <row r="41" spans="1:12" ht="12" customHeight="1" x14ac:dyDescent="0.2"/>
    <row r="42" spans="1:12" ht="12" customHeight="1" x14ac:dyDescent="0.2"/>
    <row r="43" spans="1:12" ht="12" customHeight="1" x14ac:dyDescent="0.2"/>
    <row r="44" spans="1:12" ht="12" customHeight="1" x14ac:dyDescent="0.2"/>
    <row r="45" spans="1:12" ht="12" customHeight="1" x14ac:dyDescent="0.2"/>
    <row r="46" spans="1:12" ht="12" customHeight="1" x14ac:dyDescent="0.2"/>
    <row r="47" spans="1:12" ht="12" customHeight="1" x14ac:dyDescent="0.2"/>
    <row r="48" spans="1:12" ht="11.25" x14ac:dyDescent="0.2"/>
    <row r="49" s="78" customFormat="1" ht="11.25" x14ac:dyDescent="0.2"/>
    <row r="50" s="78" customFormat="1" ht="11.25" x14ac:dyDescent="0.2"/>
    <row r="51" ht="11.25" x14ac:dyDescent="0.2"/>
    <row r="52" ht="11.25" x14ac:dyDescent="0.2"/>
    <row r="53" ht="11.25" x14ac:dyDescent="0.2"/>
    <row r="54" ht="11.25" x14ac:dyDescent="0.2"/>
    <row r="55" ht="11.25" x14ac:dyDescent="0.2"/>
    <row r="56" ht="11.25" x14ac:dyDescent="0.2"/>
    <row r="57" ht="11.25" x14ac:dyDescent="0.2"/>
    <row r="58" ht="11.25" x14ac:dyDescent="0.2"/>
    <row r="59" ht="11.25" x14ac:dyDescent="0.2"/>
    <row r="60" ht="11.25" x14ac:dyDescent="0.2"/>
    <row r="61" ht="11.25" x14ac:dyDescent="0.2"/>
    <row r="62" ht="11.25" x14ac:dyDescent="0.2"/>
    <row r="63" ht="11.25" x14ac:dyDescent="0.2"/>
    <row r="67" spans="1:1" ht="12.75" customHeight="1" x14ac:dyDescent="0.2">
      <c r="A67" s="78"/>
    </row>
  </sheetData>
  <mergeCells count="4">
    <mergeCell ref="A6:A8"/>
    <mergeCell ref="B6:B8"/>
    <mergeCell ref="C7:C8"/>
    <mergeCell ref="I7:I8"/>
  </mergeCells>
  <phoneticPr fontId="0" type="noConversion"/>
  <pageMargins left="0.59055118110236227" right="0.59055118110236227" top="0.59055118110236227" bottom="0.59055118110236227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/>
  <dimension ref="A1:L67"/>
  <sheetViews>
    <sheetView workbookViewId="0">
      <selection activeCell="M1" sqref="M1:N65536"/>
    </sheetView>
  </sheetViews>
  <sheetFormatPr baseColWidth="10" defaultColWidth="9.83203125" defaultRowHeight="12.75" customHeight="1" x14ac:dyDescent="0.2"/>
  <cols>
    <col min="1" max="1" width="20.83203125" style="51" customWidth="1"/>
    <col min="2" max="2" width="10" style="51" customWidth="1"/>
    <col min="3" max="3" width="9.6640625" style="51" customWidth="1"/>
    <col min="4" max="9" width="9" style="51" customWidth="1"/>
    <col min="10" max="10" width="9.1640625" style="51" customWidth="1"/>
    <col min="11" max="11" width="10" style="51" customWidth="1"/>
    <col min="12" max="16384" width="9.83203125" style="51"/>
  </cols>
  <sheetData>
    <row r="1" spans="1:12" ht="12.75" customHeight="1" x14ac:dyDescent="0.2">
      <c r="A1" s="49" t="s">
        <v>52</v>
      </c>
      <c r="B1" s="49"/>
      <c r="C1" s="49"/>
      <c r="D1" s="49"/>
      <c r="E1" s="49"/>
      <c r="F1" s="49"/>
      <c r="G1" s="49"/>
      <c r="H1" s="50"/>
      <c r="I1" s="50"/>
      <c r="J1" s="50"/>
      <c r="K1" s="50"/>
    </row>
    <row r="3" spans="1:12" ht="12" customHeight="1" x14ac:dyDescent="0.2">
      <c r="A3" s="52" t="s">
        <v>54</v>
      </c>
      <c r="B3" s="53"/>
      <c r="C3" s="53"/>
      <c r="D3" s="53"/>
      <c r="E3" s="53"/>
      <c r="F3" s="53"/>
      <c r="G3" s="53"/>
      <c r="H3" s="53"/>
      <c r="I3" s="53"/>
      <c r="J3" s="53"/>
      <c r="K3" s="53"/>
    </row>
    <row r="4" spans="1:12" ht="12" customHeight="1" x14ac:dyDescent="0.2">
      <c r="A4" s="52" t="s">
        <v>0</v>
      </c>
      <c r="B4" s="53"/>
      <c r="C4" s="53"/>
      <c r="D4" s="53"/>
      <c r="E4" s="53"/>
      <c r="F4" s="53"/>
      <c r="G4" s="53"/>
      <c r="H4" s="53"/>
      <c r="I4" s="53"/>
      <c r="J4" s="53"/>
      <c r="K4" s="53"/>
    </row>
    <row r="5" spans="1:12" ht="12" customHeight="1" x14ac:dyDescent="0.2">
      <c r="A5" s="54"/>
      <c r="B5" s="55"/>
      <c r="C5" s="55"/>
      <c r="D5" s="55"/>
      <c r="E5" s="55"/>
      <c r="F5" s="55"/>
      <c r="G5" s="55"/>
      <c r="H5" s="55"/>
      <c r="I5" s="55"/>
      <c r="J5" s="55"/>
      <c r="K5" s="55"/>
    </row>
    <row r="6" spans="1:12" ht="12" customHeight="1" x14ac:dyDescent="0.2">
      <c r="A6" s="183" t="s">
        <v>2</v>
      </c>
      <c r="B6" s="180" t="s">
        <v>86</v>
      </c>
      <c r="C6" s="56" t="s">
        <v>1</v>
      </c>
      <c r="D6" s="56"/>
      <c r="E6" s="56"/>
      <c r="F6" s="56"/>
      <c r="G6" s="56"/>
      <c r="H6" s="56"/>
      <c r="I6" s="56"/>
      <c r="J6" s="56"/>
      <c r="K6" s="56"/>
    </row>
    <row r="7" spans="1:12" ht="12" customHeight="1" x14ac:dyDescent="0.2">
      <c r="A7" s="184"/>
      <c r="B7" s="181"/>
      <c r="C7" s="178" t="s">
        <v>3</v>
      </c>
      <c r="D7" s="56" t="s">
        <v>4</v>
      </c>
      <c r="E7" s="56"/>
      <c r="F7" s="56"/>
      <c r="G7" s="56"/>
      <c r="H7" s="57" t="s">
        <v>5</v>
      </c>
      <c r="I7" s="178" t="s">
        <v>6</v>
      </c>
      <c r="J7" s="58" t="s">
        <v>7</v>
      </c>
      <c r="K7" s="56"/>
    </row>
    <row r="8" spans="1:12" ht="12" customHeight="1" x14ac:dyDescent="0.2">
      <c r="A8" s="185"/>
      <c r="B8" s="182"/>
      <c r="C8" s="179"/>
      <c r="D8" s="83">
        <v>1</v>
      </c>
      <c r="E8" s="84">
        <v>2</v>
      </c>
      <c r="F8" s="61">
        <v>3</v>
      </c>
      <c r="G8" s="62" t="s">
        <v>8</v>
      </c>
      <c r="H8" s="63" t="s">
        <v>9</v>
      </c>
      <c r="I8" s="179"/>
      <c r="J8" s="60" t="s">
        <v>10</v>
      </c>
      <c r="K8" s="64" t="s">
        <v>11</v>
      </c>
    </row>
    <row r="9" spans="1:12" ht="12" customHeight="1" x14ac:dyDescent="0.2">
      <c r="A9" s="59"/>
      <c r="B9" s="65"/>
      <c r="C9" s="65"/>
      <c r="D9" s="65"/>
      <c r="E9" s="65"/>
      <c r="F9" s="65"/>
      <c r="G9" s="65"/>
      <c r="H9" s="65"/>
      <c r="I9" s="65"/>
      <c r="J9" s="65"/>
      <c r="K9" s="65"/>
    </row>
    <row r="10" spans="1:12" ht="12" customHeight="1" x14ac:dyDescent="0.2">
      <c r="A10" s="66" t="s">
        <v>12</v>
      </c>
      <c r="B10" s="82">
        <v>13541</v>
      </c>
      <c r="C10" s="67">
        <f>SUM(D10:G10)</f>
        <v>1481</v>
      </c>
      <c r="D10" s="67">
        <v>844</v>
      </c>
      <c r="E10" s="67">
        <v>471</v>
      </c>
      <c r="F10" s="67">
        <v>109</v>
      </c>
      <c r="G10" s="67">
        <v>57</v>
      </c>
      <c r="H10" s="68">
        <f>2364/C10</f>
        <v>1.5962187711006077</v>
      </c>
      <c r="I10" s="67">
        <v>1100</v>
      </c>
      <c r="J10" s="67">
        <v>381</v>
      </c>
      <c r="K10" s="69">
        <f t="shared" ref="K10:K15" si="0">+J10/C10*100</f>
        <v>25.725860904794057</v>
      </c>
      <c r="L10" s="27"/>
    </row>
    <row r="11" spans="1:12" ht="12" customHeight="1" x14ac:dyDescent="0.2">
      <c r="A11" s="66" t="s">
        <v>13</v>
      </c>
      <c r="B11" s="82">
        <v>13107</v>
      </c>
      <c r="C11" s="67">
        <f>SUM(D11:G11)</f>
        <v>2388</v>
      </c>
      <c r="D11" s="67">
        <v>1251</v>
      </c>
      <c r="E11" s="67">
        <v>823</v>
      </c>
      <c r="F11" s="67">
        <v>240</v>
      </c>
      <c r="G11" s="67">
        <v>74</v>
      </c>
      <c r="H11" s="68">
        <f>3939/C11</f>
        <v>1.6494974874371859</v>
      </c>
      <c r="I11" s="67">
        <v>1845</v>
      </c>
      <c r="J11" s="67">
        <v>543</v>
      </c>
      <c r="K11" s="69">
        <f t="shared" si="0"/>
        <v>22.738693467336685</v>
      </c>
      <c r="L11" s="27"/>
    </row>
    <row r="12" spans="1:12" ht="12" customHeight="1" x14ac:dyDescent="0.2">
      <c r="A12" s="66" t="s">
        <v>14</v>
      </c>
      <c r="B12" s="82">
        <v>25555</v>
      </c>
      <c r="C12" s="67">
        <f>SUM(D12:G12)</f>
        <v>4352</v>
      </c>
      <c r="D12" s="67">
        <v>2364</v>
      </c>
      <c r="E12" s="67">
        <v>1519</v>
      </c>
      <c r="F12" s="67">
        <v>362</v>
      </c>
      <c r="G12" s="67">
        <v>107</v>
      </c>
      <c r="H12" s="68">
        <f>6944/C12</f>
        <v>1.5955882352941178</v>
      </c>
      <c r="I12" s="67">
        <v>3203</v>
      </c>
      <c r="J12" s="67">
        <v>1149</v>
      </c>
      <c r="K12" s="69">
        <f t="shared" si="0"/>
        <v>26.401654411764707</v>
      </c>
      <c r="L12" s="27"/>
    </row>
    <row r="13" spans="1:12" ht="12" customHeight="1" x14ac:dyDescent="0.2">
      <c r="A13" s="66" t="s">
        <v>15</v>
      </c>
      <c r="B13" s="82">
        <v>24289</v>
      </c>
      <c r="C13" s="67">
        <f>SUM(D13:G13)</f>
        <v>3628</v>
      </c>
      <c r="D13" s="67">
        <v>1964</v>
      </c>
      <c r="E13" s="67">
        <v>1249</v>
      </c>
      <c r="F13" s="67">
        <v>333</v>
      </c>
      <c r="G13" s="67">
        <v>82</v>
      </c>
      <c r="H13" s="68">
        <f>5823/C13</f>
        <v>1.6050165380374861</v>
      </c>
      <c r="I13" s="67">
        <v>2768</v>
      </c>
      <c r="J13" s="67">
        <v>860</v>
      </c>
      <c r="K13" s="69">
        <f t="shared" si="0"/>
        <v>23.704520396912901</v>
      </c>
      <c r="L13" s="27"/>
    </row>
    <row r="14" spans="1:12" ht="12" customHeight="1" x14ac:dyDescent="0.2">
      <c r="A14" s="66" t="s">
        <v>16</v>
      </c>
      <c r="B14" s="82">
        <v>29392</v>
      </c>
      <c r="C14" s="67">
        <f>SUM(D14:G14)</f>
        <v>3860</v>
      </c>
      <c r="D14" s="67">
        <v>2186</v>
      </c>
      <c r="E14" s="67">
        <v>1284</v>
      </c>
      <c r="F14" s="67">
        <v>307</v>
      </c>
      <c r="G14" s="67">
        <v>83</v>
      </c>
      <c r="H14" s="68">
        <f>6030/C14</f>
        <v>1.5621761658031088</v>
      </c>
      <c r="I14" s="67">
        <v>2886</v>
      </c>
      <c r="J14" s="67">
        <v>974</v>
      </c>
      <c r="K14" s="69">
        <f t="shared" si="0"/>
        <v>25.233160621761659</v>
      </c>
      <c r="L14" s="27"/>
    </row>
    <row r="15" spans="1:12" ht="12" customHeight="1" x14ac:dyDescent="0.2">
      <c r="A15" s="70" t="s">
        <v>17</v>
      </c>
      <c r="B15" s="71">
        <f t="shared" ref="B15:G15" si="1">SUM(B10:B14)</f>
        <v>105884</v>
      </c>
      <c r="C15" s="71">
        <f t="shared" si="1"/>
        <v>15709</v>
      </c>
      <c r="D15" s="71">
        <f t="shared" si="1"/>
        <v>8609</v>
      </c>
      <c r="E15" s="71">
        <f t="shared" si="1"/>
        <v>5346</v>
      </c>
      <c r="F15" s="71">
        <f t="shared" si="1"/>
        <v>1351</v>
      </c>
      <c r="G15" s="71">
        <f t="shared" si="1"/>
        <v>403</v>
      </c>
      <c r="H15" s="68">
        <f>25100/C15</f>
        <v>1.5978101725125724</v>
      </c>
      <c r="I15" s="71">
        <f>SUM(I10:I14)</f>
        <v>11802</v>
      </c>
      <c r="J15" s="71">
        <f>SUM(J10:J14)</f>
        <v>3907</v>
      </c>
      <c r="K15" s="69">
        <f t="shared" si="0"/>
        <v>24.87109300401044</v>
      </c>
    </row>
    <row r="16" spans="1:12" ht="12" customHeight="1" x14ac:dyDescent="0.2">
      <c r="A16" s="59"/>
      <c r="B16" s="71"/>
      <c r="C16" s="71"/>
      <c r="D16" s="71"/>
      <c r="E16" s="71"/>
      <c r="F16" s="71"/>
      <c r="G16" s="71"/>
      <c r="H16" s="72"/>
      <c r="I16" s="71"/>
      <c r="J16" s="71"/>
      <c r="K16" s="69"/>
    </row>
    <row r="17" spans="1:12" ht="12" customHeight="1" x14ac:dyDescent="0.2">
      <c r="A17" s="66" t="s">
        <v>18</v>
      </c>
      <c r="B17" s="82">
        <v>32772</v>
      </c>
      <c r="C17" s="71">
        <f t="shared" ref="C17:C35" si="2">SUM(D17:G17)</f>
        <v>7018</v>
      </c>
      <c r="D17" s="71">
        <v>3503</v>
      </c>
      <c r="E17" s="71">
        <v>2593</v>
      </c>
      <c r="F17" s="71">
        <v>727</v>
      </c>
      <c r="G17" s="71">
        <v>195</v>
      </c>
      <c r="H17" s="68">
        <f>11703/C17</f>
        <v>1.6675691080079795</v>
      </c>
      <c r="I17" s="71">
        <v>5552</v>
      </c>
      <c r="J17" s="71">
        <v>1466</v>
      </c>
      <c r="K17" s="69">
        <f t="shared" ref="K17:K35" si="3">+J17/C17*100</f>
        <v>20.889142205756624</v>
      </c>
      <c r="L17" s="27"/>
    </row>
    <row r="18" spans="1:12" ht="12" customHeight="1" x14ac:dyDescent="0.2">
      <c r="A18" s="66" t="s">
        <v>19</v>
      </c>
      <c r="B18" s="82">
        <v>3127</v>
      </c>
      <c r="C18" s="71">
        <f t="shared" si="2"/>
        <v>554</v>
      </c>
      <c r="D18" s="71">
        <v>268</v>
      </c>
      <c r="E18" s="71">
        <v>216</v>
      </c>
      <c r="F18" s="71">
        <v>56</v>
      </c>
      <c r="G18" s="71">
        <v>14</v>
      </c>
      <c r="H18" s="68">
        <f>932/C18</f>
        <v>1.6823104693140793</v>
      </c>
      <c r="I18" s="71">
        <v>441</v>
      </c>
      <c r="J18" s="71">
        <v>113</v>
      </c>
      <c r="K18" s="69">
        <f t="shared" si="3"/>
        <v>20.397111913357403</v>
      </c>
      <c r="L18" s="68"/>
    </row>
    <row r="19" spans="1:12" ht="12" customHeight="1" x14ac:dyDescent="0.2">
      <c r="A19" s="66" t="s">
        <v>20</v>
      </c>
      <c r="B19" s="82">
        <v>6635</v>
      </c>
      <c r="C19" s="71">
        <f t="shared" si="2"/>
        <v>1187</v>
      </c>
      <c r="D19" s="71">
        <v>580</v>
      </c>
      <c r="E19" s="71">
        <v>471</v>
      </c>
      <c r="F19" s="71">
        <v>115</v>
      </c>
      <c r="G19" s="71">
        <v>21</v>
      </c>
      <c r="H19" s="68">
        <f>1955/C19</f>
        <v>1.6470092670598147</v>
      </c>
      <c r="I19" s="71">
        <v>956</v>
      </c>
      <c r="J19" s="71">
        <v>231</v>
      </c>
      <c r="K19" s="69">
        <f t="shared" si="3"/>
        <v>19.460825610783488</v>
      </c>
      <c r="L19" s="27"/>
    </row>
    <row r="20" spans="1:12" ht="12" customHeight="1" x14ac:dyDescent="0.2">
      <c r="A20" s="66" t="s">
        <v>21</v>
      </c>
      <c r="B20" s="82">
        <v>8708</v>
      </c>
      <c r="C20" s="71">
        <f t="shared" si="2"/>
        <v>1583</v>
      </c>
      <c r="D20" s="71">
        <v>796</v>
      </c>
      <c r="E20" s="71">
        <v>614</v>
      </c>
      <c r="F20" s="71">
        <v>140</v>
      </c>
      <c r="G20" s="71">
        <v>33</v>
      </c>
      <c r="H20" s="68">
        <f>2588/C20</f>
        <v>1.6348704990524321</v>
      </c>
      <c r="I20" s="71">
        <v>1267</v>
      </c>
      <c r="J20" s="71">
        <v>316</v>
      </c>
      <c r="K20" s="69">
        <f t="shared" si="3"/>
        <v>19.962097283638659</v>
      </c>
      <c r="L20" s="27"/>
    </row>
    <row r="21" spans="1:12" ht="12" customHeight="1" x14ac:dyDescent="0.2">
      <c r="A21" s="66" t="s">
        <v>22</v>
      </c>
      <c r="B21" s="82">
        <v>14007</v>
      </c>
      <c r="C21" s="71">
        <f t="shared" si="2"/>
        <v>2632</v>
      </c>
      <c r="D21" s="71">
        <v>1316</v>
      </c>
      <c r="E21" s="71">
        <v>998</v>
      </c>
      <c r="F21" s="71">
        <v>254</v>
      </c>
      <c r="G21" s="71">
        <v>64</v>
      </c>
      <c r="H21" s="68">
        <f>4357/C21</f>
        <v>1.6553951367781155</v>
      </c>
      <c r="I21" s="71">
        <v>2118</v>
      </c>
      <c r="J21" s="71">
        <v>514</v>
      </c>
      <c r="K21" s="69">
        <f t="shared" si="3"/>
        <v>19.528875379939208</v>
      </c>
      <c r="L21" s="27"/>
    </row>
    <row r="22" spans="1:12" ht="12" customHeight="1" x14ac:dyDescent="0.2">
      <c r="A22" s="66" t="s">
        <v>23</v>
      </c>
      <c r="B22" s="82">
        <v>4564</v>
      </c>
      <c r="C22" s="71">
        <f t="shared" si="2"/>
        <v>967</v>
      </c>
      <c r="D22" s="71">
        <v>489</v>
      </c>
      <c r="E22" s="71">
        <v>351</v>
      </c>
      <c r="F22" s="71">
        <v>97</v>
      </c>
      <c r="G22" s="71">
        <v>30</v>
      </c>
      <c r="H22" s="68">
        <f>1604/C22</f>
        <v>1.6587383660806618</v>
      </c>
      <c r="I22" s="71">
        <v>764</v>
      </c>
      <c r="J22" s="71">
        <v>203</v>
      </c>
      <c r="K22" s="69">
        <f t="shared" si="3"/>
        <v>20.992761116856258</v>
      </c>
      <c r="L22" s="27"/>
    </row>
    <row r="23" spans="1:12" ht="12" customHeight="1" x14ac:dyDescent="0.2">
      <c r="A23" s="66" t="s">
        <v>24</v>
      </c>
      <c r="B23" s="82">
        <v>14650</v>
      </c>
      <c r="C23" s="71">
        <f t="shared" si="2"/>
        <v>2837</v>
      </c>
      <c r="D23" s="71">
        <v>1362</v>
      </c>
      <c r="E23" s="71">
        <v>1139</v>
      </c>
      <c r="F23" s="71">
        <v>269</v>
      </c>
      <c r="G23" s="71">
        <v>67</v>
      </c>
      <c r="H23" s="68">
        <f>4747/C23</f>
        <v>1.6732463870285512</v>
      </c>
      <c r="I23" s="71">
        <v>2250</v>
      </c>
      <c r="J23" s="71">
        <v>587</v>
      </c>
      <c r="K23" s="69">
        <f t="shared" si="3"/>
        <v>20.690870637997886</v>
      </c>
      <c r="L23" s="27"/>
    </row>
    <row r="24" spans="1:12" ht="12" customHeight="1" x14ac:dyDescent="0.2">
      <c r="A24" s="66" t="s">
        <v>25</v>
      </c>
      <c r="B24" s="82">
        <v>11758</v>
      </c>
      <c r="C24" s="71">
        <f t="shared" si="2"/>
        <v>2724</v>
      </c>
      <c r="D24" s="71">
        <v>1333</v>
      </c>
      <c r="E24" s="71">
        <v>1026</v>
      </c>
      <c r="F24" s="71">
        <v>282</v>
      </c>
      <c r="G24" s="71">
        <v>83</v>
      </c>
      <c r="H24" s="68">
        <f>4591/C24</f>
        <v>1.685389133627019</v>
      </c>
      <c r="I24" s="71">
        <v>2184</v>
      </c>
      <c r="J24" s="71">
        <v>540</v>
      </c>
      <c r="K24" s="69">
        <f t="shared" si="3"/>
        <v>19.823788546255507</v>
      </c>
      <c r="L24" s="27"/>
    </row>
    <row r="25" spans="1:12" ht="12" customHeight="1" x14ac:dyDescent="0.2">
      <c r="A25" s="66" t="s">
        <v>26</v>
      </c>
      <c r="B25" s="82">
        <v>3254</v>
      </c>
      <c r="C25" s="71">
        <f t="shared" si="2"/>
        <v>640</v>
      </c>
      <c r="D25" s="71">
        <v>331</v>
      </c>
      <c r="E25" s="71">
        <v>248</v>
      </c>
      <c r="F25" s="71">
        <v>49</v>
      </c>
      <c r="G25" s="71">
        <v>12</v>
      </c>
      <c r="H25" s="68">
        <f>1022/C25</f>
        <v>1.596875</v>
      </c>
      <c r="I25" s="71">
        <v>506</v>
      </c>
      <c r="J25" s="71">
        <v>134</v>
      </c>
      <c r="K25" s="69">
        <f t="shared" si="3"/>
        <v>20.9375</v>
      </c>
      <c r="L25" s="27"/>
    </row>
    <row r="26" spans="1:12" ht="12" customHeight="1" x14ac:dyDescent="0.2">
      <c r="A26" s="66" t="s">
        <v>27</v>
      </c>
      <c r="B26" s="82">
        <v>3885</v>
      </c>
      <c r="C26" s="71">
        <f t="shared" si="2"/>
        <v>822</v>
      </c>
      <c r="D26" s="71">
        <v>385</v>
      </c>
      <c r="E26" s="71">
        <v>353</v>
      </c>
      <c r="F26" s="71">
        <v>71</v>
      </c>
      <c r="G26" s="71">
        <v>13</v>
      </c>
      <c r="H26" s="68">
        <f>1361/C26</f>
        <v>1.6557177615571776</v>
      </c>
      <c r="I26" s="71">
        <v>651</v>
      </c>
      <c r="J26" s="71">
        <v>171</v>
      </c>
      <c r="K26" s="69">
        <f t="shared" si="3"/>
        <v>20.802919708029197</v>
      </c>
      <c r="L26" s="27"/>
    </row>
    <row r="27" spans="1:12" ht="12" customHeight="1" x14ac:dyDescent="0.2">
      <c r="A27" s="66" t="s">
        <v>28</v>
      </c>
      <c r="B27" s="82">
        <v>6631</v>
      </c>
      <c r="C27" s="71">
        <f t="shared" si="2"/>
        <v>1169</v>
      </c>
      <c r="D27" s="71">
        <v>602</v>
      </c>
      <c r="E27" s="71">
        <v>442</v>
      </c>
      <c r="F27" s="71">
        <v>97</v>
      </c>
      <c r="G27" s="71">
        <v>28</v>
      </c>
      <c r="H27" s="68">
        <f>1893/C27</f>
        <v>1.6193327630453378</v>
      </c>
      <c r="I27" s="71">
        <v>913</v>
      </c>
      <c r="J27" s="71">
        <v>256</v>
      </c>
      <c r="K27" s="69">
        <f t="shared" si="3"/>
        <v>21.899059024807528</v>
      </c>
      <c r="L27" s="27"/>
    </row>
    <row r="28" spans="1:12" ht="12" customHeight="1" x14ac:dyDescent="0.2">
      <c r="A28" s="66" t="s">
        <v>29</v>
      </c>
      <c r="B28" s="82">
        <v>11514</v>
      </c>
      <c r="C28" s="71">
        <f t="shared" si="2"/>
        <v>2284</v>
      </c>
      <c r="D28" s="71">
        <v>1106</v>
      </c>
      <c r="E28" s="71">
        <v>860</v>
      </c>
      <c r="F28" s="71">
        <v>258</v>
      </c>
      <c r="G28" s="71">
        <v>60</v>
      </c>
      <c r="H28" s="68">
        <f>3852/C28</f>
        <v>1.6865148861646235</v>
      </c>
      <c r="I28" s="71">
        <v>1807</v>
      </c>
      <c r="J28" s="71">
        <v>477</v>
      </c>
      <c r="K28" s="69">
        <f t="shared" si="3"/>
        <v>20.884413309982484</v>
      </c>
      <c r="L28" s="27"/>
    </row>
    <row r="29" spans="1:12" ht="12" customHeight="1" x14ac:dyDescent="0.2">
      <c r="A29" s="66" t="s">
        <v>30</v>
      </c>
      <c r="B29" s="82">
        <v>5542</v>
      </c>
      <c r="C29" s="71">
        <f t="shared" si="2"/>
        <v>1333</v>
      </c>
      <c r="D29" s="71">
        <v>668</v>
      </c>
      <c r="E29" s="71">
        <v>477</v>
      </c>
      <c r="F29" s="71">
        <v>150</v>
      </c>
      <c r="G29" s="71">
        <v>38</v>
      </c>
      <c r="H29" s="68">
        <f>2232/C29</f>
        <v>1.6744186046511629</v>
      </c>
      <c r="I29" s="71">
        <v>1083</v>
      </c>
      <c r="J29" s="71">
        <v>250</v>
      </c>
      <c r="K29" s="69">
        <f t="shared" si="3"/>
        <v>18.754688672168044</v>
      </c>
      <c r="L29" s="27"/>
    </row>
    <row r="30" spans="1:12" ht="12" customHeight="1" x14ac:dyDescent="0.2">
      <c r="A30" s="66" t="s">
        <v>31</v>
      </c>
      <c r="B30" s="82">
        <v>7920</v>
      </c>
      <c r="C30" s="71">
        <f t="shared" si="2"/>
        <v>1618</v>
      </c>
      <c r="D30" s="71">
        <v>820</v>
      </c>
      <c r="E30" s="71">
        <v>591</v>
      </c>
      <c r="F30" s="71">
        <v>165</v>
      </c>
      <c r="G30" s="71">
        <v>42</v>
      </c>
      <c r="H30" s="68">
        <f>2675/C30</f>
        <v>1.6532756489493201</v>
      </c>
      <c r="I30" s="71">
        <v>1321</v>
      </c>
      <c r="J30" s="71">
        <v>297</v>
      </c>
      <c r="K30" s="69">
        <f t="shared" si="3"/>
        <v>18.355995055624227</v>
      </c>
      <c r="L30" s="27"/>
    </row>
    <row r="31" spans="1:12" ht="12" customHeight="1" x14ac:dyDescent="0.2">
      <c r="A31" s="66" t="s">
        <v>32</v>
      </c>
      <c r="B31" s="82">
        <v>22380</v>
      </c>
      <c r="C31" s="71">
        <f t="shared" si="2"/>
        <v>3949</v>
      </c>
      <c r="D31" s="71">
        <v>1933</v>
      </c>
      <c r="E31" s="71">
        <v>1575</v>
      </c>
      <c r="F31" s="71">
        <v>349</v>
      </c>
      <c r="G31" s="71">
        <v>92</v>
      </c>
      <c r="H31" s="68">
        <f>6527/C31</f>
        <v>1.652823499620157</v>
      </c>
      <c r="I31" s="71">
        <v>3176</v>
      </c>
      <c r="J31" s="71">
        <v>773</v>
      </c>
      <c r="K31" s="69">
        <f t="shared" si="3"/>
        <v>19.574575841985311</v>
      </c>
      <c r="L31" s="27"/>
    </row>
    <row r="32" spans="1:12" ht="12" customHeight="1" x14ac:dyDescent="0.2">
      <c r="A32" s="66" t="s">
        <v>33</v>
      </c>
      <c r="B32" s="82">
        <v>4514</v>
      </c>
      <c r="C32" s="71">
        <f t="shared" si="2"/>
        <v>826</v>
      </c>
      <c r="D32" s="71">
        <v>429</v>
      </c>
      <c r="E32" s="71">
        <v>306</v>
      </c>
      <c r="F32" s="71">
        <v>68</v>
      </c>
      <c r="G32" s="71">
        <v>23</v>
      </c>
      <c r="H32" s="68">
        <f>1359/C32</f>
        <v>1.6452784503631961</v>
      </c>
      <c r="I32" s="71">
        <v>668</v>
      </c>
      <c r="J32" s="71">
        <v>158</v>
      </c>
      <c r="K32" s="69">
        <f t="shared" si="3"/>
        <v>19.128329297820823</v>
      </c>
      <c r="L32" s="27"/>
    </row>
    <row r="33" spans="1:12" ht="12" customHeight="1" x14ac:dyDescent="0.2">
      <c r="A33" s="66" t="s">
        <v>34</v>
      </c>
      <c r="B33" s="82">
        <v>14060</v>
      </c>
      <c r="C33" s="71">
        <f t="shared" si="2"/>
        <v>3426</v>
      </c>
      <c r="D33" s="71">
        <v>1586</v>
      </c>
      <c r="E33" s="71">
        <v>1417</v>
      </c>
      <c r="F33" s="71">
        <v>327</v>
      </c>
      <c r="G33" s="71">
        <v>96</v>
      </c>
      <c r="H33" s="68">
        <f>5805/C33</f>
        <v>1.6943957968476357</v>
      </c>
      <c r="I33" s="71">
        <v>2817</v>
      </c>
      <c r="J33" s="71">
        <v>609</v>
      </c>
      <c r="K33" s="69">
        <f t="shared" si="3"/>
        <v>17.775831873905428</v>
      </c>
      <c r="L33" s="27"/>
    </row>
    <row r="34" spans="1:12" ht="12" customHeight="1" x14ac:dyDescent="0.2">
      <c r="A34" s="66" t="s">
        <v>35</v>
      </c>
      <c r="B34" s="82">
        <v>17144</v>
      </c>
      <c r="C34" s="71">
        <f t="shared" si="2"/>
        <v>3649</v>
      </c>
      <c r="D34" s="71">
        <v>1848</v>
      </c>
      <c r="E34" s="71">
        <v>1303</v>
      </c>
      <c r="F34" s="71">
        <v>398</v>
      </c>
      <c r="G34" s="71">
        <v>100</v>
      </c>
      <c r="H34" s="68">
        <f>6093/C34</f>
        <v>1.6697725404220334</v>
      </c>
      <c r="I34" s="71">
        <v>2865</v>
      </c>
      <c r="J34" s="71">
        <v>784</v>
      </c>
      <c r="K34" s="69">
        <f t="shared" si="3"/>
        <v>21.485338448890108</v>
      </c>
      <c r="L34" s="27"/>
    </row>
    <row r="35" spans="1:12" ht="12" customHeight="1" x14ac:dyDescent="0.2">
      <c r="A35" s="70" t="s">
        <v>36</v>
      </c>
      <c r="B35" s="79">
        <f>SUM(B17:B34)</f>
        <v>193065</v>
      </c>
      <c r="C35" s="79">
        <f t="shared" si="2"/>
        <v>39218</v>
      </c>
      <c r="D35" s="79">
        <f>SUM(D17:D34)</f>
        <v>19355</v>
      </c>
      <c r="E35" s="79">
        <f>SUM(E17:E34)</f>
        <v>14980</v>
      </c>
      <c r="F35" s="79">
        <f>SUM(F17:F34)</f>
        <v>3872</v>
      </c>
      <c r="G35" s="79">
        <f>SUM(G17:G34)</f>
        <v>1011</v>
      </c>
      <c r="H35" s="68">
        <f>65296/C35</f>
        <v>1.6649497679636902</v>
      </c>
      <c r="I35" s="71">
        <f>SUM(I17:I34)</f>
        <v>31339</v>
      </c>
      <c r="J35" s="71">
        <f>SUM(J17:J34)</f>
        <v>7879</v>
      </c>
      <c r="K35" s="69">
        <f t="shared" si="3"/>
        <v>20.090264674384212</v>
      </c>
    </row>
    <row r="36" spans="1:12" ht="12" customHeight="1" x14ac:dyDescent="0.2">
      <c r="A36" s="59"/>
      <c r="B36" s="71"/>
      <c r="C36" s="71"/>
      <c r="D36" s="71"/>
      <c r="E36" s="71"/>
      <c r="F36" s="71"/>
      <c r="G36" s="71"/>
      <c r="H36" s="80"/>
      <c r="I36" s="71"/>
      <c r="J36" s="71"/>
      <c r="K36" s="69"/>
    </row>
    <row r="37" spans="1:12" ht="12" customHeight="1" x14ac:dyDescent="0.2">
      <c r="A37" s="70" t="s">
        <v>37</v>
      </c>
      <c r="B37" s="79">
        <f>B15+B35</f>
        <v>298949</v>
      </c>
      <c r="C37" s="79">
        <f>SUM(D37:G37)</f>
        <v>54927</v>
      </c>
      <c r="D37" s="79">
        <f>D15+D35</f>
        <v>27964</v>
      </c>
      <c r="E37" s="79">
        <f>E15+E35</f>
        <v>20326</v>
      </c>
      <c r="F37" s="79">
        <f>F15+F35</f>
        <v>5223</v>
      </c>
      <c r="G37" s="79">
        <f>G15+G35</f>
        <v>1414</v>
      </c>
      <c r="H37" s="68">
        <f>90396/C37</f>
        <v>1.6457479927904308</v>
      </c>
      <c r="I37" s="79">
        <f>I15+I35</f>
        <v>43141</v>
      </c>
      <c r="J37" s="71">
        <f>J15+J35</f>
        <v>11786</v>
      </c>
      <c r="K37" s="69">
        <f>+J37/C37*100</f>
        <v>21.457570957816738</v>
      </c>
      <c r="L37" s="71"/>
    </row>
    <row r="38" spans="1:12" ht="12" customHeight="1" x14ac:dyDescent="0.2">
      <c r="A38" s="74" t="s">
        <v>38</v>
      </c>
      <c r="B38" s="75"/>
      <c r="C38" s="65"/>
      <c r="D38" s="65"/>
      <c r="E38" s="65"/>
      <c r="F38" s="65"/>
      <c r="G38" s="76"/>
      <c r="H38" s="65"/>
      <c r="I38" s="65"/>
      <c r="J38" s="65"/>
      <c r="K38" s="65"/>
    </row>
    <row r="39" spans="1:12" ht="12" customHeight="1" x14ac:dyDescent="0.2">
      <c r="A39" s="77" t="s">
        <v>55</v>
      </c>
      <c r="B39" s="65"/>
      <c r="C39" s="65"/>
      <c r="D39" s="65"/>
      <c r="E39" s="65"/>
      <c r="F39" s="65"/>
      <c r="G39" s="76"/>
      <c r="H39" s="65"/>
      <c r="I39" s="65"/>
      <c r="J39" s="65"/>
      <c r="K39" s="65"/>
    </row>
    <row r="40" spans="1:12" ht="12" customHeight="1" x14ac:dyDescent="0.2"/>
    <row r="41" spans="1:12" ht="12" customHeight="1" x14ac:dyDescent="0.2"/>
    <row r="42" spans="1:12" ht="12" customHeight="1" x14ac:dyDescent="0.2"/>
    <row r="43" spans="1:12" ht="12" customHeight="1" x14ac:dyDescent="0.2"/>
    <row r="44" spans="1:12" ht="12" customHeight="1" x14ac:dyDescent="0.2"/>
    <row r="45" spans="1:12" ht="12" customHeight="1" x14ac:dyDescent="0.2"/>
    <row r="46" spans="1:12" ht="12" customHeight="1" x14ac:dyDescent="0.2"/>
    <row r="47" spans="1:12" ht="12" customHeight="1" x14ac:dyDescent="0.2"/>
    <row r="48" spans="1:12" ht="11.25" x14ac:dyDescent="0.2"/>
    <row r="49" s="78" customFormat="1" ht="11.25" x14ac:dyDescent="0.2"/>
    <row r="50" s="78" customFormat="1" ht="11.25" x14ac:dyDescent="0.2"/>
    <row r="51" ht="11.25" x14ac:dyDescent="0.2"/>
    <row r="52" ht="11.25" x14ac:dyDescent="0.2"/>
    <row r="53" ht="11.25" x14ac:dyDescent="0.2"/>
    <row r="54" ht="11.25" x14ac:dyDescent="0.2"/>
    <row r="55" ht="11.25" x14ac:dyDescent="0.2"/>
    <row r="56" ht="11.25" x14ac:dyDescent="0.2"/>
    <row r="57" ht="11.25" x14ac:dyDescent="0.2"/>
    <row r="58" ht="11.25" x14ac:dyDescent="0.2"/>
    <row r="59" ht="11.25" x14ac:dyDescent="0.2"/>
    <row r="60" ht="11.25" x14ac:dyDescent="0.2"/>
    <row r="61" ht="11.25" x14ac:dyDescent="0.2"/>
    <row r="62" ht="11.25" x14ac:dyDescent="0.2"/>
    <row r="63" ht="11.25" x14ac:dyDescent="0.2"/>
    <row r="67" spans="1:1" ht="12.75" customHeight="1" x14ac:dyDescent="0.2">
      <c r="A67" s="78"/>
    </row>
  </sheetData>
  <mergeCells count="4">
    <mergeCell ref="B6:B8"/>
    <mergeCell ref="A6:A8"/>
    <mergeCell ref="C7:C8"/>
    <mergeCell ref="I7:I8"/>
  </mergeCells>
  <phoneticPr fontId="0" type="noConversion"/>
  <pageMargins left="0.59055118110236227" right="0.59055118110236227" top="0.59055118110236227" bottom="0.59055118110236227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/>
  <dimension ref="A1:L67"/>
  <sheetViews>
    <sheetView workbookViewId="0">
      <selection activeCell="M1" sqref="M1:N65536"/>
    </sheetView>
  </sheetViews>
  <sheetFormatPr baseColWidth="10" defaultColWidth="9.83203125" defaultRowHeight="12.75" customHeight="1" x14ac:dyDescent="0.2"/>
  <cols>
    <col min="1" max="1" width="20.83203125" style="51" customWidth="1"/>
    <col min="2" max="3" width="9.6640625" style="51" customWidth="1"/>
    <col min="4" max="9" width="9" style="51" customWidth="1"/>
    <col min="10" max="10" width="9.1640625" style="51" customWidth="1"/>
    <col min="11" max="11" width="10" style="51" customWidth="1"/>
    <col min="12" max="16384" width="9.83203125" style="51"/>
  </cols>
  <sheetData>
    <row r="1" spans="1:12" ht="12.75" customHeight="1" x14ac:dyDescent="0.2">
      <c r="A1" s="3" t="s">
        <v>52</v>
      </c>
      <c r="B1" s="3"/>
      <c r="C1" s="3"/>
      <c r="D1" s="3"/>
      <c r="E1" s="3"/>
      <c r="F1" s="3"/>
      <c r="G1" s="3"/>
      <c r="H1" s="3"/>
      <c r="I1" s="3"/>
      <c r="J1" s="1"/>
      <c r="K1" s="1"/>
      <c r="L1" s="1"/>
    </row>
    <row r="3" spans="1:12" ht="12" customHeight="1" x14ac:dyDescent="0.2">
      <c r="A3" s="52" t="s">
        <v>56</v>
      </c>
      <c r="B3" s="53"/>
      <c r="C3" s="53"/>
      <c r="D3" s="53"/>
      <c r="E3" s="53"/>
      <c r="F3" s="53"/>
      <c r="G3" s="53"/>
      <c r="H3" s="53"/>
      <c r="I3" s="53"/>
      <c r="J3" s="53"/>
      <c r="K3" s="53"/>
    </row>
    <row r="4" spans="1:12" ht="12" customHeight="1" x14ac:dyDescent="0.2">
      <c r="A4" s="52" t="s">
        <v>0</v>
      </c>
      <c r="B4" s="53"/>
      <c r="C4" s="53"/>
      <c r="D4" s="53"/>
      <c r="E4" s="53"/>
      <c r="F4" s="53"/>
      <c r="G4" s="53"/>
      <c r="H4" s="53"/>
      <c r="I4" s="53"/>
      <c r="J4" s="53"/>
      <c r="K4" s="53"/>
    </row>
    <row r="5" spans="1:12" ht="12" customHeight="1" x14ac:dyDescent="0.2">
      <c r="A5" s="54"/>
      <c r="B5" s="55"/>
      <c r="C5" s="55"/>
      <c r="D5" s="55"/>
      <c r="E5" s="55"/>
      <c r="F5" s="55"/>
      <c r="G5" s="55"/>
      <c r="H5" s="55"/>
      <c r="I5" s="55"/>
      <c r="J5" s="55"/>
      <c r="K5" s="55"/>
    </row>
    <row r="6" spans="1:12" ht="12" customHeight="1" x14ac:dyDescent="0.2">
      <c r="A6" s="186" t="s">
        <v>2</v>
      </c>
      <c r="B6" s="175" t="s">
        <v>86</v>
      </c>
      <c r="C6" s="56" t="s">
        <v>1</v>
      </c>
      <c r="D6" s="56"/>
      <c r="E6" s="56"/>
      <c r="F6" s="56"/>
      <c r="G6" s="56"/>
      <c r="H6" s="56"/>
      <c r="I6" s="56"/>
      <c r="J6" s="56"/>
      <c r="K6" s="56"/>
    </row>
    <row r="7" spans="1:12" ht="12" customHeight="1" x14ac:dyDescent="0.2">
      <c r="A7" s="187"/>
      <c r="B7" s="176"/>
      <c r="C7" s="178" t="s">
        <v>3</v>
      </c>
      <c r="D7" s="56" t="s">
        <v>4</v>
      </c>
      <c r="E7" s="56"/>
      <c r="F7" s="56"/>
      <c r="G7" s="56"/>
      <c r="H7" s="57" t="s">
        <v>5</v>
      </c>
      <c r="I7" s="178" t="s">
        <v>6</v>
      </c>
      <c r="J7" s="58" t="s">
        <v>7</v>
      </c>
      <c r="K7" s="56"/>
    </row>
    <row r="8" spans="1:12" ht="12" customHeight="1" x14ac:dyDescent="0.2">
      <c r="A8" s="188"/>
      <c r="B8" s="177"/>
      <c r="C8" s="179"/>
      <c r="D8" s="83">
        <v>1</v>
      </c>
      <c r="E8" s="84">
        <v>2</v>
      </c>
      <c r="F8" s="61">
        <v>3</v>
      </c>
      <c r="G8" s="62" t="s">
        <v>8</v>
      </c>
      <c r="H8" s="63" t="s">
        <v>9</v>
      </c>
      <c r="I8" s="179"/>
      <c r="J8" s="60" t="s">
        <v>10</v>
      </c>
      <c r="K8" s="64" t="s">
        <v>11</v>
      </c>
    </row>
    <row r="9" spans="1:12" ht="12" customHeight="1" x14ac:dyDescent="0.2">
      <c r="A9" s="59"/>
      <c r="B9" s="65"/>
      <c r="C9" s="65"/>
      <c r="D9" s="65"/>
      <c r="E9" s="65"/>
      <c r="F9" s="65"/>
      <c r="G9" s="65"/>
      <c r="H9" s="65"/>
      <c r="I9" s="65"/>
      <c r="J9" s="65"/>
      <c r="K9" s="65"/>
    </row>
    <row r="10" spans="1:12" ht="12" customHeight="1" x14ac:dyDescent="0.2">
      <c r="A10" s="66" t="s">
        <v>12</v>
      </c>
      <c r="B10" s="82">
        <v>13905</v>
      </c>
      <c r="C10" s="67">
        <f>SUM(D10:G10)</f>
        <v>1471</v>
      </c>
      <c r="D10" s="67">
        <v>826</v>
      </c>
      <c r="E10" s="67">
        <v>474</v>
      </c>
      <c r="F10" s="67">
        <v>111</v>
      </c>
      <c r="G10" s="67">
        <v>60</v>
      </c>
      <c r="H10" s="68">
        <f>2372/C10</f>
        <v>1.6125084976206663</v>
      </c>
      <c r="I10" s="71">
        <v>1117</v>
      </c>
      <c r="J10" s="71">
        <v>354</v>
      </c>
      <c r="K10" s="69">
        <f t="shared" ref="K10:K15" si="0">+J10/C10*100</f>
        <v>24.065261726716518</v>
      </c>
      <c r="L10" s="27"/>
    </row>
    <row r="11" spans="1:12" ht="12" customHeight="1" x14ac:dyDescent="0.2">
      <c r="A11" s="66" t="s">
        <v>13</v>
      </c>
      <c r="B11" s="82">
        <v>13264</v>
      </c>
      <c r="C11" s="67">
        <f>SUM(D11:G11)</f>
        <v>2378</v>
      </c>
      <c r="D11" s="67">
        <v>1258</v>
      </c>
      <c r="E11" s="67">
        <v>814</v>
      </c>
      <c r="F11" s="67">
        <v>233</v>
      </c>
      <c r="G11" s="67">
        <v>73</v>
      </c>
      <c r="H11" s="68">
        <f>3898/C11</f>
        <v>1.63919259882254</v>
      </c>
      <c r="I11" s="71">
        <v>1863</v>
      </c>
      <c r="J11" s="71">
        <v>515</v>
      </c>
      <c r="K11" s="69">
        <f t="shared" si="0"/>
        <v>21.656854499579477</v>
      </c>
      <c r="L11" s="27"/>
    </row>
    <row r="12" spans="1:12" ht="12" customHeight="1" x14ac:dyDescent="0.2">
      <c r="A12" s="66" t="s">
        <v>14</v>
      </c>
      <c r="B12" s="82">
        <v>25718</v>
      </c>
      <c r="C12" s="67">
        <f>SUM(D12:G12)</f>
        <v>4424</v>
      </c>
      <c r="D12" s="67">
        <v>2382</v>
      </c>
      <c r="E12" s="67">
        <v>1547</v>
      </c>
      <c r="F12" s="67">
        <v>380</v>
      </c>
      <c r="G12" s="67">
        <v>115</v>
      </c>
      <c r="H12" s="68">
        <f>7099/C12</f>
        <v>1.6046564195298372</v>
      </c>
      <c r="I12" s="71">
        <v>3249</v>
      </c>
      <c r="J12" s="71">
        <v>1175</v>
      </c>
      <c r="K12" s="69">
        <f t="shared" si="0"/>
        <v>26.559674502712475</v>
      </c>
      <c r="L12" s="27"/>
    </row>
    <row r="13" spans="1:12" ht="12" customHeight="1" x14ac:dyDescent="0.2">
      <c r="A13" s="66" t="s">
        <v>15</v>
      </c>
      <c r="B13" s="82">
        <v>24391</v>
      </c>
      <c r="C13" s="67">
        <f>SUM(D13:G13)</f>
        <v>3651</v>
      </c>
      <c r="D13" s="67">
        <v>1964</v>
      </c>
      <c r="E13" s="67">
        <v>1259</v>
      </c>
      <c r="F13" s="67">
        <v>339</v>
      </c>
      <c r="G13" s="67">
        <v>89</v>
      </c>
      <c r="H13" s="68">
        <f>5888/C13</f>
        <v>1.6127088468912627</v>
      </c>
      <c r="I13" s="71">
        <v>2803</v>
      </c>
      <c r="J13" s="71">
        <v>848</v>
      </c>
      <c r="K13" s="69">
        <f t="shared" si="0"/>
        <v>23.226513284031771</v>
      </c>
      <c r="L13" s="27"/>
    </row>
    <row r="14" spans="1:12" ht="12" customHeight="1" x14ac:dyDescent="0.2">
      <c r="A14" s="66" t="s">
        <v>16</v>
      </c>
      <c r="B14" s="82">
        <v>29731</v>
      </c>
      <c r="C14" s="67">
        <f>SUM(D14:G14)</f>
        <v>3938</v>
      </c>
      <c r="D14" s="67">
        <v>2198</v>
      </c>
      <c r="E14" s="67">
        <v>1331</v>
      </c>
      <c r="F14" s="67">
        <v>323</v>
      </c>
      <c r="G14" s="67">
        <v>86</v>
      </c>
      <c r="H14" s="68">
        <f>6199/C14</f>
        <v>1.5741493143727781</v>
      </c>
      <c r="I14" s="71">
        <v>2943</v>
      </c>
      <c r="J14" s="71">
        <v>995</v>
      </c>
      <c r="K14" s="69">
        <f t="shared" si="0"/>
        <v>25.26663280853225</v>
      </c>
      <c r="L14" s="27"/>
    </row>
    <row r="15" spans="1:12" ht="12" customHeight="1" x14ac:dyDescent="0.2">
      <c r="A15" s="70" t="s">
        <v>17</v>
      </c>
      <c r="B15" s="71">
        <f t="shared" ref="B15:G15" si="1">SUM(B10:B14)</f>
        <v>107009</v>
      </c>
      <c r="C15" s="71">
        <f t="shared" si="1"/>
        <v>15862</v>
      </c>
      <c r="D15" s="71">
        <f t="shared" si="1"/>
        <v>8628</v>
      </c>
      <c r="E15" s="71">
        <f t="shared" si="1"/>
        <v>5425</v>
      </c>
      <c r="F15" s="71">
        <f t="shared" si="1"/>
        <v>1386</v>
      </c>
      <c r="G15" s="71">
        <f t="shared" si="1"/>
        <v>423</v>
      </c>
      <c r="H15" s="68">
        <f>25456/C15</f>
        <v>1.6048417601815661</v>
      </c>
      <c r="I15" s="71">
        <f>SUM(I10:I14)</f>
        <v>11975</v>
      </c>
      <c r="J15" s="71">
        <f>SUM(J10:J14)</f>
        <v>3887</v>
      </c>
      <c r="K15" s="69">
        <f t="shared" si="0"/>
        <v>24.505106543941498</v>
      </c>
    </row>
    <row r="16" spans="1:12" ht="12" customHeight="1" x14ac:dyDescent="0.2">
      <c r="A16" s="59"/>
      <c r="B16" s="71"/>
      <c r="C16" s="71"/>
      <c r="D16" s="71"/>
      <c r="E16" s="71"/>
      <c r="F16" s="71"/>
      <c r="G16" s="71"/>
      <c r="H16" s="72"/>
      <c r="I16" s="71"/>
      <c r="J16" s="71"/>
      <c r="K16" s="69"/>
    </row>
    <row r="17" spans="1:12" ht="12" customHeight="1" x14ac:dyDescent="0.2">
      <c r="A17" s="66" t="s">
        <v>18</v>
      </c>
      <c r="B17" s="82">
        <v>33094</v>
      </c>
      <c r="C17" s="71">
        <f t="shared" ref="C17:C35" si="2">SUM(D17:G17)</f>
        <v>7062</v>
      </c>
      <c r="D17" s="71">
        <v>3538</v>
      </c>
      <c r="E17" s="71">
        <v>2578</v>
      </c>
      <c r="F17" s="71">
        <v>746</v>
      </c>
      <c r="G17" s="71">
        <v>200</v>
      </c>
      <c r="H17" s="68">
        <f>11799/C17</f>
        <v>1.6707731520815634</v>
      </c>
      <c r="I17" s="71">
        <v>5633</v>
      </c>
      <c r="J17" s="71">
        <v>1429</v>
      </c>
      <c r="K17" s="69">
        <f t="shared" ref="K17:K35" si="3">+J17/C17*100</f>
        <v>20.235060889266496</v>
      </c>
      <c r="L17" s="27"/>
    </row>
    <row r="18" spans="1:12" ht="12" customHeight="1" x14ac:dyDescent="0.2">
      <c r="A18" s="66" t="s">
        <v>19</v>
      </c>
      <c r="B18" s="82">
        <v>3130</v>
      </c>
      <c r="C18" s="71">
        <f t="shared" si="2"/>
        <v>550</v>
      </c>
      <c r="D18" s="71">
        <v>265</v>
      </c>
      <c r="E18" s="71">
        <v>209</v>
      </c>
      <c r="F18" s="71">
        <v>60</v>
      </c>
      <c r="G18" s="71">
        <v>16</v>
      </c>
      <c r="H18" s="68">
        <f>936/C18</f>
        <v>1.7018181818181819</v>
      </c>
      <c r="I18" s="71">
        <v>440</v>
      </c>
      <c r="J18" s="71">
        <v>110</v>
      </c>
      <c r="K18" s="69">
        <f t="shared" si="3"/>
        <v>20</v>
      </c>
      <c r="L18" s="27"/>
    </row>
    <row r="19" spans="1:12" ht="12" customHeight="1" x14ac:dyDescent="0.2">
      <c r="A19" s="66" t="s">
        <v>20</v>
      </c>
      <c r="B19" s="82">
        <v>6688</v>
      </c>
      <c r="C19" s="71">
        <f t="shared" si="2"/>
        <v>1195</v>
      </c>
      <c r="D19" s="71">
        <v>575</v>
      </c>
      <c r="E19" s="71">
        <v>475</v>
      </c>
      <c r="F19" s="71">
        <v>113</v>
      </c>
      <c r="G19" s="71">
        <v>32</v>
      </c>
      <c r="H19" s="68">
        <f>1996/C19</f>
        <v>1.6702928870292888</v>
      </c>
      <c r="I19" s="71">
        <v>976</v>
      </c>
      <c r="J19" s="71">
        <v>219</v>
      </c>
      <c r="K19" s="69">
        <f t="shared" si="3"/>
        <v>18.326359832635983</v>
      </c>
      <c r="L19" s="27"/>
    </row>
    <row r="20" spans="1:12" ht="12" customHeight="1" x14ac:dyDescent="0.2">
      <c r="A20" s="66" t="s">
        <v>21</v>
      </c>
      <c r="B20" s="82">
        <v>8771</v>
      </c>
      <c r="C20" s="71">
        <f t="shared" si="2"/>
        <v>1581</v>
      </c>
      <c r="D20" s="71">
        <v>788</v>
      </c>
      <c r="E20" s="71">
        <v>618</v>
      </c>
      <c r="F20" s="71">
        <v>144</v>
      </c>
      <c r="G20" s="71">
        <v>31</v>
      </c>
      <c r="H20" s="68">
        <f>2593/C20</f>
        <v>1.640101201771031</v>
      </c>
      <c r="I20" s="71">
        <v>1266</v>
      </c>
      <c r="J20" s="71">
        <v>315</v>
      </c>
      <c r="K20" s="69">
        <f t="shared" si="3"/>
        <v>19.924098671726757</v>
      </c>
      <c r="L20" s="27"/>
    </row>
    <row r="21" spans="1:12" ht="12" customHeight="1" x14ac:dyDescent="0.2">
      <c r="A21" s="66" t="s">
        <v>22</v>
      </c>
      <c r="B21" s="82">
        <v>14109</v>
      </c>
      <c r="C21" s="71">
        <f t="shared" si="2"/>
        <v>2646</v>
      </c>
      <c r="D21" s="71">
        <v>1334</v>
      </c>
      <c r="E21" s="71">
        <v>1000</v>
      </c>
      <c r="F21" s="71">
        <v>258</v>
      </c>
      <c r="G21" s="71">
        <v>54</v>
      </c>
      <c r="H21" s="68">
        <f>4347/C21</f>
        <v>1.6428571428571428</v>
      </c>
      <c r="I21" s="71">
        <v>2125</v>
      </c>
      <c r="J21" s="71">
        <v>521</v>
      </c>
      <c r="K21" s="69">
        <f t="shared" si="3"/>
        <v>19.690098261526835</v>
      </c>
      <c r="L21" s="27"/>
    </row>
    <row r="22" spans="1:12" ht="12" customHeight="1" x14ac:dyDescent="0.2">
      <c r="A22" s="66" t="s">
        <v>23</v>
      </c>
      <c r="B22" s="82">
        <v>4548</v>
      </c>
      <c r="C22" s="71">
        <f t="shared" si="2"/>
        <v>933</v>
      </c>
      <c r="D22" s="71">
        <v>454</v>
      </c>
      <c r="E22" s="71">
        <v>352</v>
      </c>
      <c r="F22" s="71">
        <v>97</v>
      </c>
      <c r="G22" s="71">
        <v>30</v>
      </c>
      <c r="H22" s="68">
        <f>1572/C22</f>
        <v>1.684887459807074</v>
      </c>
      <c r="I22" s="71">
        <v>750</v>
      </c>
      <c r="J22" s="71">
        <v>183</v>
      </c>
      <c r="K22" s="69">
        <f t="shared" si="3"/>
        <v>19.614147909967848</v>
      </c>
      <c r="L22" s="27"/>
    </row>
    <row r="23" spans="1:12" ht="12" customHeight="1" x14ac:dyDescent="0.2">
      <c r="A23" s="66" t="s">
        <v>24</v>
      </c>
      <c r="B23" s="82">
        <v>14788</v>
      </c>
      <c r="C23" s="71">
        <f t="shared" si="2"/>
        <v>2803</v>
      </c>
      <c r="D23" s="71">
        <v>1356</v>
      </c>
      <c r="E23" s="71">
        <v>1100</v>
      </c>
      <c r="F23" s="71">
        <v>282</v>
      </c>
      <c r="G23" s="71">
        <v>65</v>
      </c>
      <c r="H23" s="68">
        <f>4691/C23</f>
        <v>1.6735640385301462</v>
      </c>
      <c r="I23" s="71">
        <v>2235</v>
      </c>
      <c r="J23" s="71">
        <v>568</v>
      </c>
      <c r="K23" s="69">
        <f t="shared" si="3"/>
        <v>20.264002854084907</v>
      </c>
      <c r="L23" s="27"/>
    </row>
    <row r="24" spans="1:12" ht="12" customHeight="1" x14ac:dyDescent="0.2">
      <c r="A24" s="66" t="s">
        <v>25</v>
      </c>
      <c r="B24" s="82">
        <v>11691</v>
      </c>
      <c r="C24" s="71">
        <f t="shared" si="2"/>
        <v>2716</v>
      </c>
      <c r="D24" s="71">
        <v>1292</v>
      </c>
      <c r="E24" s="71">
        <v>1039</v>
      </c>
      <c r="F24" s="71">
        <v>296</v>
      </c>
      <c r="G24" s="71">
        <v>89</v>
      </c>
      <c r="H24" s="68">
        <f>4644/C24</f>
        <v>1.7098674521354933</v>
      </c>
      <c r="I24" s="71">
        <v>2215</v>
      </c>
      <c r="J24" s="71">
        <v>501</v>
      </c>
      <c r="K24" s="69">
        <f t="shared" si="3"/>
        <v>18.446244477172314</v>
      </c>
      <c r="L24" s="27"/>
    </row>
    <row r="25" spans="1:12" ht="12" customHeight="1" x14ac:dyDescent="0.2">
      <c r="A25" s="66" t="s">
        <v>26</v>
      </c>
      <c r="B25" s="82">
        <v>3278</v>
      </c>
      <c r="C25" s="71">
        <f t="shared" si="2"/>
        <v>631</v>
      </c>
      <c r="D25" s="71">
        <v>324</v>
      </c>
      <c r="E25" s="71">
        <v>243</v>
      </c>
      <c r="F25" s="71">
        <v>53</v>
      </c>
      <c r="G25" s="71">
        <v>11</v>
      </c>
      <c r="H25" s="68">
        <f>1013/C25</f>
        <v>1.6053882725832012</v>
      </c>
      <c r="I25" s="71">
        <v>490</v>
      </c>
      <c r="J25" s="71">
        <v>141</v>
      </c>
      <c r="K25" s="69">
        <f t="shared" si="3"/>
        <v>22.345483359746435</v>
      </c>
      <c r="L25" s="27"/>
    </row>
    <row r="26" spans="1:12" ht="12" customHeight="1" x14ac:dyDescent="0.2">
      <c r="A26" s="66" t="s">
        <v>27</v>
      </c>
      <c r="B26" s="82">
        <v>3830</v>
      </c>
      <c r="C26" s="71">
        <f t="shared" si="2"/>
        <v>817</v>
      </c>
      <c r="D26" s="71">
        <v>386</v>
      </c>
      <c r="E26" s="71">
        <v>344</v>
      </c>
      <c r="F26" s="71">
        <v>72</v>
      </c>
      <c r="G26" s="71">
        <v>15</v>
      </c>
      <c r="H26" s="68">
        <f>1355/C26</f>
        <v>1.6585067319461444</v>
      </c>
      <c r="I26" s="71">
        <v>669</v>
      </c>
      <c r="J26" s="71">
        <v>148</v>
      </c>
      <c r="K26" s="69">
        <f t="shared" si="3"/>
        <v>18.115055079559365</v>
      </c>
      <c r="L26" s="27"/>
    </row>
    <row r="27" spans="1:12" ht="12" customHeight="1" x14ac:dyDescent="0.2">
      <c r="A27" s="66" t="s">
        <v>28</v>
      </c>
      <c r="B27" s="82">
        <v>6662</v>
      </c>
      <c r="C27" s="71">
        <f t="shared" si="2"/>
        <v>1162</v>
      </c>
      <c r="D27" s="71">
        <v>589</v>
      </c>
      <c r="E27" s="71">
        <v>442</v>
      </c>
      <c r="F27" s="71">
        <v>103</v>
      </c>
      <c r="G27" s="71">
        <v>28</v>
      </c>
      <c r="H27" s="68">
        <f>1899/C27</f>
        <v>1.6342512908777969</v>
      </c>
      <c r="I27" s="71">
        <v>922</v>
      </c>
      <c r="J27" s="71">
        <v>240</v>
      </c>
      <c r="K27" s="69">
        <f t="shared" si="3"/>
        <v>20.654044750430291</v>
      </c>
      <c r="L27" s="27"/>
    </row>
    <row r="28" spans="1:12" ht="12" customHeight="1" x14ac:dyDescent="0.2">
      <c r="A28" s="66" t="s">
        <v>29</v>
      </c>
      <c r="B28" s="82">
        <v>11564</v>
      </c>
      <c r="C28" s="71">
        <f t="shared" si="2"/>
        <v>2304</v>
      </c>
      <c r="D28" s="71">
        <v>1103</v>
      </c>
      <c r="E28" s="71">
        <v>875</v>
      </c>
      <c r="F28" s="71">
        <v>256</v>
      </c>
      <c r="G28" s="71">
        <v>70</v>
      </c>
      <c r="H28" s="68">
        <f>3922/C28</f>
        <v>1.7022569444444444</v>
      </c>
      <c r="I28" s="71">
        <v>1840</v>
      </c>
      <c r="J28" s="71">
        <v>464</v>
      </c>
      <c r="K28" s="69">
        <f t="shared" si="3"/>
        <v>20.138888888888889</v>
      </c>
      <c r="L28" s="27"/>
    </row>
    <row r="29" spans="1:12" ht="12" customHeight="1" x14ac:dyDescent="0.2">
      <c r="A29" s="66" t="s">
        <v>30</v>
      </c>
      <c r="B29" s="82">
        <v>5526</v>
      </c>
      <c r="C29" s="71">
        <f t="shared" si="2"/>
        <v>1369</v>
      </c>
      <c r="D29" s="71">
        <v>665</v>
      </c>
      <c r="E29" s="71">
        <v>508</v>
      </c>
      <c r="F29" s="71">
        <v>157</v>
      </c>
      <c r="G29" s="71">
        <v>39</v>
      </c>
      <c r="H29" s="68">
        <f>2316/C29</f>
        <v>1.691745799853908</v>
      </c>
      <c r="I29" s="71">
        <v>1124</v>
      </c>
      <c r="J29" s="71">
        <v>245</v>
      </c>
      <c r="K29" s="69">
        <f t="shared" si="3"/>
        <v>17.896274653031412</v>
      </c>
      <c r="L29" s="27"/>
    </row>
    <row r="30" spans="1:12" ht="12" customHeight="1" x14ac:dyDescent="0.2">
      <c r="A30" s="66" t="s">
        <v>31</v>
      </c>
      <c r="B30" s="82">
        <v>7935</v>
      </c>
      <c r="C30" s="71">
        <f t="shared" si="2"/>
        <v>1583</v>
      </c>
      <c r="D30" s="71">
        <v>792</v>
      </c>
      <c r="E30" s="71">
        <v>595</v>
      </c>
      <c r="F30" s="71">
        <v>153</v>
      </c>
      <c r="G30" s="71">
        <v>43</v>
      </c>
      <c r="H30" s="68">
        <f>2623/C30</f>
        <v>1.6569804169298801</v>
      </c>
      <c r="I30" s="71">
        <v>1297</v>
      </c>
      <c r="J30" s="71">
        <v>286</v>
      </c>
      <c r="K30" s="69">
        <f t="shared" si="3"/>
        <v>18.066961465571698</v>
      </c>
      <c r="L30" s="27"/>
    </row>
    <row r="31" spans="1:12" ht="12" customHeight="1" x14ac:dyDescent="0.2">
      <c r="A31" s="66" t="s">
        <v>32</v>
      </c>
      <c r="B31" s="82">
        <v>22233</v>
      </c>
      <c r="C31" s="71">
        <f t="shared" si="2"/>
        <v>3903</v>
      </c>
      <c r="D31" s="71">
        <v>1958</v>
      </c>
      <c r="E31" s="71">
        <v>1510</v>
      </c>
      <c r="F31" s="71">
        <v>346</v>
      </c>
      <c r="G31" s="71">
        <v>89</v>
      </c>
      <c r="H31" s="68">
        <f>6399/C31</f>
        <v>1.6395080707148348</v>
      </c>
      <c r="I31" s="71">
        <v>3152</v>
      </c>
      <c r="J31" s="71">
        <v>751</v>
      </c>
      <c r="K31" s="69">
        <f t="shared" si="3"/>
        <v>19.241609018703564</v>
      </c>
      <c r="L31" s="27"/>
    </row>
    <row r="32" spans="1:12" ht="12" customHeight="1" x14ac:dyDescent="0.2">
      <c r="A32" s="66" t="s">
        <v>33</v>
      </c>
      <c r="B32" s="82">
        <v>4515</v>
      </c>
      <c r="C32" s="71">
        <f t="shared" si="2"/>
        <v>839</v>
      </c>
      <c r="D32" s="71">
        <v>441</v>
      </c>
      <c r="E32" s="71">
        <v>314</v>
      </c>
      <c r="F32" s="71">
        <v>62</v>
      </c>
      <c r="G32" s="71">
        <v>22</v>
      </c>
      <c r="H32" s="68">
        <f>1362/C32</f>
        <v>1.6233611442193088</v>
      </c>
      <c r="I32" s="71">
        <v>677</v>
      </c>
      <c r="J32" s="71">
        <v>162</v>
      </c>
      <c r="K32" s="69">
        <f t="shared" si="3"/>
        <v>19.308700834326579</v>
      </c>
      <c r="L32" s="27"/>
    </row>
    <row r="33" spans="1:12" ht="12" customHeight="1" x14ac:dyDescent="0.2">
      <c r="A33" s="66" t="s">
        <v>34</v>
      </c>
      <c r="B33" s="82">
        <v>14078</v>
      </c>
      <c r="C33" s="71">
        <f t="shared" si="2"/>
        <v>3348</v>
      </c>
      <c r="D33" s="71">
        <v>1529</v>
      </c>
      <c r="E33" s="71">
        <v>1382</v>
      </c>
      <c r="F33" s="71">
        <v>345</v>
      </c>
      <c r="G33" s="71">
        <v>92</v>
      </c>
      <c r="H33" s="68">
        <f>5712/C33</f>
        <v>1.7060931899641576</v>
      </c>
      <c r="I33" s="71">
        <v>2777</v>
      </c>
      <c r="J33" s="71">
        <v>571</v>
      </c>
      <c r="K33" s="69">
        <f t="shared" si="3"/>
        <v>17.054958183990443</v>
      </c>
      <c r="L33" s="27"/>
    </row>
    <row r="34" spans="1:12" ht="12" customHeight="1" x14ac:dyDescent="0.2">
      <c r="A34" s="66" t="s">
        <v>35</v>
      </c>
      <c r="B34" s="82">
        <v>17013</v>
      </c>
      <c r="C34" s="71">
        <f t="shared" si="2"/>
        <v>3549</v>
      </c>
      <c r="D34" s="71">
        <v>1798</v>
      </c>
      <c r="E34" s="71">
        <v>1290</v>
      </c>
      <c r="F34" s="71">
        <v>358</v>
      </c>
      <c r="G34" s="71">
        <v>103</v>
      </c>
      <c r="H34" s="68">
        <f>5909/C34</f>
        <v>1.6649760495914343</v>
      </c>
      <c r="I34" s="71">
        <v>2774</v>
      </c>
      <c r="J34" s="71">
        <v>775</v>
      </c>
      <c r="K34" s="69">
        <f t="shared" si="3"/>
        <v>21.837137221752606</v>
      </c>
      <c r="L34" s="27"/>
    </row>
    <row r="35" spans="1:12" ht="12" customHeight="1" x14ac:dyDescent="0.2">
      <c r="A35" s="70" t="s">
        <v>36</v>
      </c>
      <c r="B35" s="71">
        <f>SUM(B17:B34)</f>
        <v>193453</v>
      </c>
      <c r="C35" s="71">
        <f t="shared" si="2"/>
        <v>38991</v>
      </c>
      <c r="D35" s="67">
        <f>SUM(D17:D34)</f>
        <v>19187</v>
      </c>
      <c r="E35" s="67">
        <f>SUM(E17:E34)</f>
        <v>14874</v>
      </c>
      <c r="F35" s="67">
        <f>SUM(F17:F34)</f>
        <v>3901</v>
      </c>
      <c r="G35" s="67">
        <f>SUM(G17:G34)</f>
        <v>1029</v>
      </c>
      <c r="H35" s="68">
        <f>65088/C35</f>
        <v>1.6693083019158268</v>
      </c>
      <c r="I35" s="71">
        <f>SUM(I17:I34)</f>
        <v>31362</v>
      </c>
      <c r="J35" s="71">
        <f>SUM(J17:J34)</f>
        <v>7629</v>
      </c>
      <c r="K35" s="69">
        <f t="shared" si="3"/>
        <v>19.566053704701083</v>
      </c>
    </row>
    <row r="36" spans="1:12" ht="12" customHeight="1" x14ac:dyDescent="0.2">
      <c r="A36" s="59"/>
      <c r="B36" s="71"/>
      <c r="C36" s="71"/>
      <c r="D36" s="71"/>
      <c r="E36" s="71"/>
      <c r="F36" s="71"/>
      <c r="G36" s="71"/>
      <c r="H36" s="73"/>
      <c r="I36" s="71"/>
      <c r="J36" s="71"/>
      <c r="K36" s="69"/>
    </row>
    <row r="37" spans="1:12" ht="12" customHeight="1" x14ac:dyDescent="0.2">
      <c r="A37" s="70" t="s">
        <v>37</v>
      </c>
      <c r="B37" s="71">
        <f>B15+B35</f>
        <v>300462</v>
      </c>
      <c r="C37" s="71">
        <f>SUM(D37:G37)</f>
        <v>54853</v>
      </c>
      <c r="D37" s="71">
        <f>D15+D35</f>
        <v>27815</v>
      </c>
      <c r="E37" s="71">
        <f>E15+E35</f>
        <v>20299</v>
      </c>
      <c r="F37" s="71">
        <f>F15+F35</f>
        <v>5287</v>
      </c>
      <c r="G37" s="71">
        <f>G15+G35</f>
        <v>1452</v>
      </c>
      <c r="H37" s="68">
        <f>90544
/C37</f>
        <v>1.6506663263631889</v>
      </c>
      <c r="I37" s="71">
        <f>I15+I35</f>
        <v>43337</v>
      </c>
      <c r="J37" s="71">
        <f>J15+J35</f>
        <v>11516</v>
      </c>
      <c r="K37" s="69">
        <f>+J37/C37*100</f>
        <v>20.994293839899367</v>
      </c>
      <c r="L37" s="71"/>
    </row>
    <row r="38" spans="1:12" ht="12" customHeight="1" x14ac:dyDescent="0.2">
      <c r="A38" s="74" t="s">
        <v>38</v>
      </c>
      <c r="B38" s="75"/>
      <c r="C38" s="65"/>
      <c r="D38" s="65"/>
      <c r="E38" s="65"/>
      <c r="F38" s="65"/>
      <c r="G38" s="76"/>
      <c r="H38" s="65"/>
      <c r="I38" s="65"/>
      <c r="J38" s="65"/>
      <c r="K38" s="65"/>
    </row>
    <row r="39" spans="1:12" ht="12" customHeight="1" x14ac:dyDescent="0.2">
      <c r="A39" s="77" t="s">
        <v>55</v>
      </c>
      <c r="B39" s="65"/>
      <c r="C39" s="65"/>
      <c r="D39" s="65"/>
      <c r="E39" s="65"/>
      <c r="F39" s="65"/>
      <c r="G39" s="76"/>
      <c r="H39" s="65"/>
      <c r="I39" s="65"/>
      <c r="J39" s="65"/>
      <c r="K39" s="65"/>
    </row>
    <row r="40" spans="1:12" ht="12" customHeight="1" x14ac:dyDescent="0.2"/>
    <row r="41" spans="1:12" ht="12" customHeight="1" x14ac:dyDescent="0.2"/>
    <row r="42" spans="1:12" ht="12" customHeight="1" x14ac:dyDescent="0.2"/>
    <row r="43" spans="1:12" ht="12" customHeight="1" x14ac:dyDescent="0.2"/>
    <row r="44" spans="1:12" ht="12" customHeight="1" x14ac:dyDescent="0.2"/>
    <row r="45" spans="1:12" ht="12" customHeight="1" x14ac:dyDescent="0.2"/>
    <row r="46" spans="1:12" ht="12" customHeight="1" x14ac:dyDescent="0.2"/>
    <row r="47" spans="1:12" ht="12" customHeight="1" x14ac:dyDescent="0.2"/>
    <row r="48" spans="1:12" ht="11.25" x14ac:dyDescent="0.2"/>
    <row r="49" s="78" customFormat="1" ht="11.25" x14ac:dyDescent="0.2"/>
    <row r="50" s="78" customFormat="1" ht="11.25" x14ac:dyDescent="0.2"/>
    <row r="51" ht="11.25" x14ac:dyDescent="0.2"/>
    <row r="52" ht="11.25" x14ac:dyDescent="0.2"/>
    <row r="53" ht="11.25" x14ac:dyDescent="0.2"/>
    <row r="54" ht="11.25" x14ac:dyDescent="0.2"/>
    <row r="55" ht="11.25" x14ac:dyDescent="0.2"/>
    <row r="56" ht="11.25" x14ac:dyDescent="0.2"/>
    <row r="57" ht="11.25" x14ac:dyDescent="0.2"/>
    <row r="58" ht="11.25" x14ac:dyDescent="0.2"/>
    <row r="59" ht="11.25" x14ac:dyDescent="0.2"/>
    <row r="60" ht="11.25" x14ac:dyDescent="0.2"/>
    <row r="61" ht="11.25" x14ac:dyDescent="0.2"/>
    <row r="62" ht="11.25" x14ac:dyDescent="0.2"/>
    <row r="63" ht="11.25" x14ac:dyDescent="0.2"/>
    <row r="67" spans="1:1" ht="12.75" customHeight="1" x14ac:dyDescent="0.2">
      <c r="A67" s="78"/>
    </row>
  </sheetData>
  <mergeCells count="4">
    <mergeCell ref="A6:A8"/>
    <mergeCell ref="B6:B8"/>
    <mergeCell ref="C7:C8"/>
    <mergeCell ref="I7:I8"/>
  </mergeCells>
  <phoneticPr fontId="0" type="noConversion"/>
  <pageMargins left="0.59055118110236227" right="0.59055118110236227" top="0.59055118110236227" bottom="0.59055118110236227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7"/>
  <dimension ref="A1:K67"/>
  <sheetViews>
    <sheetView workbookViewId="0">
      <selection activeCell="M1" sqref="M1:N65536"/>
    </sheetView>
  </sheetViews>
  <sheetFormatPr baseColWidth="10" defaultColWidth="9.83203125" defaultRowHeight="12.75" customHeight="1" x14ac:dyDescent="0.2"/>
  <cols>
    <col min="1" max="1" width="20.83203125" customWidth="1"/>
    <col min="2" max="3" width="9.6640625" customWidth="1"/>
    <col min="4" max="9" width="9" customWidth="1"/>
    <col min="10" max="10" width="9.1640625" customWidth="1"/>
    <col min="11" max="11" width="10" customWidth="1"/>
  </cols>
  <sheetData>
    <row r="1" spans="1:11" ht="12.75" customHeight="1" x14ac:dyDescent="0.2">
      <c r="A1" s="3" t="s">
        <v>52</v>
      </c>
      <c r="B1" s="3"/>
      <c r="C1" s="3"/>
      <c r="D1" s="3"/>
      <c r="E1" s="3"/>
      <c r="F1" s="3"/>
      <c r="G1" s="3"/>
      <c r="H1" s="1"/>
      <c r="I1" s="1"/>
      <c r="J1" s="1"/>
      <c r="K1" s="1"/>
    </row>
    <row r="3" spans="1:11" ht="12" customHeight="1" x14ac:dyDescent="0.2">
      <c r="A3" s="25" t="s">
        <v>57</v>
      </c>
      <c r="B3" s="26"/>
      <c r="C3" s="26"/>
      <c r="D3" s="26"/>
      <c r="E3" s="26"/>
      <c r="F3" s="26"/>
      <c r="G3" s="26"/>
      <c r="H3" s="26"/>
      <c r="I3" s="26"/>
      <c r="J3" s="26"/>
      <c r="K3" s="26"/>
    </row>
    <row r="4" spans="1:11" ht="12" customHeight="1" x14ac:dyDescent="0.2">
      <c r="A4" s="25" t="s">
        <v>0</v>
      </c>
      <c r="B4" s="26"/>
      <c r="C4" s="26"/>
      <c r="D4" s="26"/>
      <c r="E4" s="26"/>
      <c r="F4" s="26"/>
      <c r="G4" s="26"/>
      <c r="H4" s="26"/>
      <c r="I4" s="26"/>
      <c r="J4" s="26"/>
      <c r="K4" s="26"/>
    </row>
    <row r="5" spans="1:11" ht="12" customHeight="1" x14ac:dyDescent="0.2">
      <c r="A5" s="4"/>
      <c r="B5" s="5"/>
      <c r="C5" s="5"/>
      <c r="D5" s="5"/>
      <c r="E5" s="5"/>
      <c r="F5" s="5"/>
      <c r="G5" s="5"/>
      <c r="H5" s="5"/>
      <c r="I5" s="5"/>
      <c r="J5" s="5"/>
      <c r="K5" s="5"/>
    </row>
    <row r="6" spans="1:11" ht="12" customHeight="1" x14ac:dyDescent="0.2">
      <c r="A6" s="189" t="s">
        <v>2</v>
      </c>
      <c r="B6" s="190" t="s">
        <v>86</v>
      </c>
      <c r="C6" s="6" t="s">
        <v>1</v>
      </c>
      <c r="D6" s="6"/>
      <c r="E6" s="6"/>
      <c r="F6" s="6"/>
      <c r="G6" s="6"/>
      <c r="H6" s="6"/>
      <c r="I6" s="6"/>
      <c r="J6" s="6"/>
      <c r="K6" s="6"/>
    </row>
    <row r="7" spans="1:11" ht="12" customHeight="1" x14ac:dyDescent="0.2">
      <c r="A7" s="187"/>
      <c r="B7" s="176"/>
      <c r="C7" s="191" t="s">
        <v>3</v>
      </c>
      <c r="D7" s="6" t="s">
        <v>4</v>
      </c>
      <c r="E7" s="6"/>
      <c r="F7" s="6"/>
      <c r="G7" s="6"/>
      <c r="H7" s="7" t="s">
        <v>5</v>
      </c>
      <c r="I7" s="191" t="s">
        <v>6</v>
      </c>
      <c r="J7" s="8" t="s">
        <v>7</v>
      </c>
      <c r="K7" s="6"/>
    </row>
    <row r="8" spans="1:11" ht="12" customHeight="1" x14ac:dyDescent="0.2">
      <c r="A8" s="188"/>
      <c r="B8" s="177"/>
      <c r="C8" s="179"/>
      <c r="D8" s="85">
        <v>1</v>
      </c>
      <c r="E8" s="86">
        <v>2</v>
      </c>
      <c r="F8" s="11">
        <v>3</v>
      </c>
      <c r="G8" s="12" t="s">
        <v>8</v>
      </c>
      <c r="H8" s="13" t="s">
        <v>9</v>
      </c>
      <c r="I8" s="179"/>
      <c r="J8" s="10" t="s">
        <v>10</v>
      </c>
      <c r="K8" s="14" t="s">
        <v>11</v>
      </c>
    </row>
    <row r="9" spans="1:11" ht="12" customHeight="1" x14ac:dyDescent="0.2">
      <c r="A9" s="9"/>
      <c r="B9" s="15"/>
      <c r="C9" s="15"/>
      <c r="D9" s="15"/>
      <c r="E9" s="15"/>
      <c r="F9" s="15"/>
      <c r="G9" s="15"/>
      <c r="H9" s="15"/>
      <c r="I9" s="15"/>
      <c r="J9" s="15"/>
      <c r="K9" s="15"/>
    </row>
    <row r="10" spans="1:11" ht="12" customHeight="1" x14ac:dyDescent="0.2">
      <c r="A10" s="20" t="s">
        <v>12</v>
      </c>
      <c r="B10" s="16">
        <v>13716</v>
      </c>
      <c r="C10" s="16">
        <f>SUM(D10:G10)</f>
        <v>1488</v>
      </c>
      <c r="D10" s="16">
        <v>824</v>
      </c>
      <c r="E10" s="16">
        <v>488</v>
      </c>
      <c r="F10" s="16">
        <v>121</v>
      </c>
      <c r="G10" s="16">
        <v>55</v>
      </c>
      <c r="H10" s="17">
        <v>1.6169354838709677</v>
      </c>
      <c r="I10" s="16">
        <v>1113</v>
      </c>
      <c r="J10" s="16">
        <v>359</v>
      </c>
      <c r="K10" s="21">
        <f t="shared" ref="K10:K15" si="0">+J10/C10*100</f>
        <v>24.126344086021508</v>
      </c>
    </row>
    <row r="11" spans="1:11" ht="12" customHeight="1" x14ac:dyDescent="0.2">
      <c r="A11" s="20" t="s">
        <v>13</v>
      </c>
      <c r="B11" s="16">
        <v>13166</v>
      </c>
      <c r="C11" s="16">
        <f>SUM(D11:G11)</f>
        <v>2361</v>
      </c>
      <c r="D11" s="16">
        <v>1238</v>
      </c>
      <c r="E11" s="16">
        <v>808</v>
      </c>
      <c r="F11" s="16">
        <v>243</v>
      </c>
      <c r="G11" s="16">
        <v>72</v>
      </c>
      <c r="H11" s="17">
        <v>1.6484540448962304</v>
      </c>
      <c r="I11" s="16">
        <v>1857</v>
      </c>
      <c r="J11" s="16">
        <v>486</v>
      </c>
      <c r="K11" s="21">
        <f t="shared" si="0"/>
        <v>20.584498094027953</v>
      </c>
    </row>
    <row r="12" spans="1:11" ht="12" customHeight="1" x14ac:dyDescent="0.2">
      <c r="A12" s="20" t="s">
        <v>14</v>
      </c>
      <c r="B12" s="16">
        <v>25485</v>
      </c>
      <c r="C12" s="16">
        <f>SUM(D12:G12)</f>
        <v>4434</v>
      </c>
      <c r="D12" s="16">
        <v>2390</v>
      </c>
      <c r="E12" s="16">
        <v>1547</v>
      </c>
      <c r="F12" s="16">
        <v>385</v>
      </c>
      <c r="G12" s="16">
        <v>112</v>
      </c>
      <c r="H12" s="17">
        <v>1.6046459179070816</v>
      </c>
      <c r="I12" s="16">
        <v>3261</v>
      </c>
      <c r="J12" s="16">
        <v>1145</v>
      </c>
      <c r="K12" s="21">
        <f t="shared" si="0"/>
        <v>25.823184483536309</v>
      </c>
    </row>
    <row r="13" spans="1:11" ht="12" customHeight="1" x14ac:dyDescent="0.2">
      <c r="A13" s="20" t="s">
        <v>15</v>
      </c>
      <c r="B13" s="16">
        <v>24042</v>
      </c>
      <c r="C13" s="16">
        <f>SUM(D13:G13)</f>
        <v>3650</v>
      </c>
      <c r="D13" s="16">
        <v>1960</v>
      </c>
      <c r="E13" s="16">
        <v>1241</v>
      </c>
      <c r="F13" s="16">
        <v>349</v>
      </c>
      <c r="G13" s="16">
        <v>100</v>
      </c>
      <c r="H13" s="17">
        <v>1.6235616438356164</v>
      </c>
      <c r="I13" s="16">
        <v>2764</v>
      </c>
      <c r="J13" s="16">
        <v>867</v>
      </c>
      <c r="K13" s="21">
        <f t="shared" si="0"/>
        <v>23.753424657534246</v>
      </c>
    </row>
    <row r="14" spans="1:11" ht="12" customHeight="1" x14ac:dyDescent="0.2">
      <c r="A14" s="20" t="s">
        <v>16</v>
      </c>
      <c r="B14" s="16">
        <v>29477</v>
      </c>
      <c r="C14" s="16">
        <f>SUM(D14:G14)</f>
        <v>3955</v>
      </c>
      <c r="D14" s="16">
        <v>2221</v>
      </c>
      <c r="E14" s="16">
        <v>1327</v>
      </c>
      <c r="F14" s="16">
        <v>321</v>
      </c>
      <c r="G14" s="16">
        <v>86</v>
      </c>
      <c r="H14" s="17">
        <v>1.5686472819216182</v>
      </c>
      <c r="I14" s="16">
        <v>2959</v>
      </c>
      <c r="J14" s="16">
        <v>984</v>
      </c>
      <c r="K14" s="21">
        <f t="shared" si="0"/>
        <v>24.879898862199749</v>
      </c>
    </row>
    <row r="15" spans="1:11" ht="12" customHeight="1" x14ac:dyDescent="0.2">
      <c r="A15" s="22" t="s">
        <v>17</v>
      </c>
      <c r="B15" s="16">
        <f t="shared" ref="B15:G15" si="1">SUM(B10:B14)</f>
        <v>105886</v>
      </c>
      <c r="C15" s="16">
        <f t="shared" si="1"/>
        <v>15888</v>
      </c>
      <c r="D15" s="16">
        <f t="shared" si="1"/>
        <v>8633</v>
      </c>
      <c r="E15" s="16">
        <f t="shared" si="1"/>
        <v>5411</v>
      </c>
      <c r="F15" s="16">
        <f t="shared" si="1"/>
        <v>1419</v>
      </c>
      <c r="G15" s="16">
        <f t="shared" si="1"/>
        <v>425</v>
      </c>
      <c r="H15" s="17">
        <v>1.6076913393756294</v>
      </c>
      <c r="I15" s="16">
        <f>SUM(I10:I14)</f>
        <v>11954</v>
      </c>
      <c r="J15" s="16">
        <f>SUM(J10:J14)</f>
        <v>3841</v>
      </c>
      <c r="K15" s="21">
        <f t="shared" si="0"/>
        <v>24.175478348439071</v>
      </c>
    </row>
    <row r="16" spans="1:11" ht="12" customHeight="1" x14ac:dyDescent="0.2">
      <c r="A16" s="9"/>
      <c r="B16" s="16"/>
      <c r="C16" s="16"/>
      <c r="D16" s="16"/>
      <c r="E16" s="16"/>
      <c r="F16" s="16"/>
      <c r="G16" s="16"/>
      <c r="H16" s="17"/>
      <c r="I16" s="16"/>
      <c r="J16" s="16"/>
      <c r="K16" s="21"/>
    </row>
    <row r="17" spans="1:11" ht="12" customHeight="1" x14ac:dyDescent="0.2">
      <c r="A17" s="20" t="s">
        <v>18</v>
      </c>
      <c r="B17" s="16">
        <v>32906</v>
      </c>
      <c r="C17" s="16">
        <f t="shared" ref="C17:C35" si="2">SUM(D17:G17)</f>
        <v>7020</v>
      </c>
      <c r="D17" s="16">
        <v>3478</v>
      </c>
      <c r="E17" s="16">
        <v>2566</v>
      </c>
      <c r="F17" s="16">
        <v>760</v>
      </c>
      <c r="G17" s="16">
        <v>216</v>
      </c>
      <c r="H17" s="17">
        <v>1.6866096866096867</v>
      </c>
      <c r="I17" s="16">
        <v>5582</v>
      </c>
      <c r="J17" s="16">
        <v>1397</v>
      </c>
      <c r="K17" s="21">
        <f t="shared" ref="K17:K35" si="3">+J17/C17*100</f>
        <v>19.900284900284902</v>
      </c>
    </row>
    <row r="18" spans="1:11" ht="12" customHeight="1" x14ac:dyDescent="0.2">
      <c r="A18" s="20" t="s">
        <v>19</v>
      </c>
      <c r="B18" s="16">
        <v>3044</v>
      </c>
      <c r="C18" s="16">
        <f t="shared" si="2"/>
        <v>564</v>
      </c>
      <c r="D18" s="16">
        <v>275</v>
      </c>
      <c r="E18" s="16">
        <v>208</v>
      </c>
      <c r="F18" s="16">
        <v>61</v>
      </c>
      <c r="G18" s="16">
        <v>20</v>
      </c>
      <c r="H18" s="17">
        <v>1.7039007092198581</v>
      </c>
      <c r="I18" s="16">
        <v>447</v>
      </c>
      <c r="J18" s="16">
        <v>115</v>
      </c>
      <c r="K18" s="21">
        <f t="shared" si="3"/>
        <v>20.390070921985814</v>
      </c>
    </row>
    <row r="19" spans="1:11" ht="12" customHeight="1" x14ac:dyDescent="0.2">
      <c r="A19" s="20" t="s">
        <v>20</v>
      </c>
      <c r="B19" s="16">
        <v>6658</v>
      </c>
      <c r="C19" s="16">
        <f t="shared" si="2"/>
        <v>1196</v>
      </c>
      <c r="D19" s="16">
        <v>568</v>
      </c>
      <c r="E19" s="16">
        <v>474</v>
      </c>
      <c r="F19" s="16">
        <v>118</v>
      </c>
      <c r="G19" s="16">
        <v>36</v>
      </c>
      <c r="H19" s="17">
        <v>1.6889632107023411</v>
      </c>
      <c r="I19" s="16">
        <v>979</v>
      </c>
      <c r="J19" s="16">
        <v>211</v>
      </c>
      <c r="K19" s="21">
        <f t="shared" si="3"/>
        <v>17.642140468227424</v>
      </c>
    </row>
    <row r="20" spans="1:11" ht="12" customHeight="1" x14ac:dyDescent="0.2">
      <c r="A20" s="20" t="s">
        <v>21</v>
      </c>
      <c r="B20" s="16">
        <v>8741</v>
      </c>
      <c r="C20" s="16">
        <f t="shared" si="2"/>
        <v>1566</v>
      </c>
      <c r="D20" s="16">
        <v>773</v>
      </c>
      <c r="E20" s="16">
        <v>624</v>
      </c>
      <c r="F20" s="16">
        <v>140</v>
      </c>
      <c r="G20" s="16">
        <v>29</v>
      </c>
      <c r="H20" s="17">
        <v>1.6398467432950192</v>
      </c>
      <c r="I20" s="16">
        <v>1245</v>
      </c>
      <c r="J20" s="16">
        <v>313</v>
      </c>
      <c r="K20" s="21">
        <f t="shared" si="3"/>
        <v>19.987228607918265</v>
      </c>
    </row>
    <row r="21" spans="1:11" ht="12" customHeight="1" x14ac:dyDescent="0.2">
      <c r="A21" s="20" t="s">
        <v>22</v>
      </c>
      <c r="B21" s="16">
        <v>14171</v>
      </c>
      <c r="C21" s="16">
        <f t="shared" si="2"/>
        <v>2647</v>
      </c>
      <c r="D21" s="16">
        <v>1327</v>
      </c>
      <c r="E21" s="16">
        <v>996</v>
      </c>
      <c r="F21" s="16">
        <v>265</v>
      </c>
      <c r="G21" s="16">
        <v>59</v>
      </c>
      <c r="H21" s="17">
        <v>1.6520589346429921</v>
      </c>
      <c r="I21" s="16">
        <v>2138</v>
      </c>
      <c r="J21" s="16">
        <v>494</v>
      </c>
      <c r="K21" s="21">
        <f t="shared" si="3"/>
        <v>18.662636947487719</v>
      </c>
    </row>
    <row r="22" spans="1:11" ht="12" customHeight="1" x14ac:dyDescent="0.2">
      <c r="A22" s="20" t="s">
        <v>23</v>
      </c>
      <c r="B22" s="16">
        <v>4504</v>
      </c>
      <c r="C22" s="16">
        <f t="shared" si="2"/>
        <v>941</v>
      </c>
      <c r="D22" s="16">
        <v>456</v>
      </c>
      <c r="E22" s="16">
        <v>364</v>
      </c>
      <c r="F22" s="16">
        <v>92</v>
      </c>
      <c r="G22" s="16">
        <v>29</v>
      </c>
      <c r="H22" s="17">
        <v>1.6780021253985122</v>
      </c>
      <c r="I22" s="16">
        <v>760</v>
      </c>
      <c r="J22" s="16">
        <v>178</v>
      </c>
      <c r="K22" s="21">
        <f t="shared" si="3"/>
        <v>18.916046758767269</v>
      </c>
    </row>
    <row r="23" spans="1:11" ht="12" customHeight="1" x14ac:dyDescent="0.2">
      <c r="A23" s="20" t="s">
        <v>24</v>
      </c>
      <c r="B23" s="16">
        <v>14699</v>
      </c>
      <c r="C23" s="16">
        <f t="shared" si="2"/>
        <v>2807</v>
      </c>
      <c r="D23" s="16">
        <v>1345</v>
      </c>
      <c r="E23" s="16">
        <v>1101</v>
      </c>
      <c r="F23" s="16">
        <v>295</v>
      </c>
      <c r="G23" s="16">
        <v>66</v>
      </c>
      <c r="H23" s="17">
        <v>1.6800855005343784</v>
      </c>
      <c r="I23" s="16">
        <v>2239</v>
      </c>
      <c r="J23" s="16">
        <v>556</v>
      </c>
      <c r="K23" s="21">
        <f t="shared" si="3"/>
        <v>19.807623797648734</v>
      </c>
    </row>
    <row r="24" spans="1:11" ht="12" customHeight="1" x14ac:dyDescent="0.2">
      <c r="A24" s="20" t="s">
        <v>25</v>
      </c>
      <c r="B24" s="16">
        <v>11610</v>
      </c>
      <c r="C24" s="16">
        <f t="shared" si="2"/>
        <v>2733</v>
      </c>
      <c r="D24" s="16">
        <v>1271</v>
      </c>
      <c r="E24" s="16">
        <v>1062</v>
      </c>
      <c r="F24" s="16">
        <v>320</v>
      </c>
      <c r="G24" s="16">
        <v>80</v>
      </c>
      <c r="H24" s="17">
        <v>1.7219173069886571</v>
      </c>
      <c r="I24" s="16">
        <v>2232</v>
      </c>
      <c r="J24" s="16">
        <v>482</v>
      </c>
      <c r="K24" s="21">
        <f t="shared" si="3"/>
        <v>17.636297109403586</v>
      </c>
    </row>
    <row r="25" spans="1:11" ht="12" customHeight="1" x14ac:dyDescent="0.2">
      <c r="A25" s="20" t="s">
        <v>26</v>
      </c>
      <c r="B25" s="16">
        <v>3215</v>
      </c>
      <c r="C25" s="16">
        <f t="shared" si="2"/>
        <v>623</v>
      </c>
      <c r="D25" s="16">
        <v>330</v>
      </c>
      <c r="E25" s="16">
        <v>234</v>
      </c>
      <c r="F25" s="16">
        <v>47</v>
      </c>
      <c r="G25" s="16">
        <v>12</v>
      </c>
      <c r="H25" s="17">
        <v>1.5842696629213484</v>
      </c>
      <c r="I25" s="16">
        <v>494</v>
      </c>
      <c r="J25" s="16">
        <v>128</v>
      </c>
      <c r="K25" s="21">
        <f t="shared" si="3"/>
        <v>20.545746388443018</v>
      </c>
    </row>
    <row r="26" spans="1:11" ht="12" customHeight="1" x14ac:dyDescent="0.2">
      <c r="A26" s="20" t="s">
        <v>27</v>
      </c>
      <c r="B26" s="16">
        <v>3830</v>
      </c>
      <c r="C26" s="16">
        <f t="shared" si="2"/>
        <v>821</v>
      </c>
      <c r="D26" s="16">
        <v>391</v>
      </c>
      <c r="E26" s="16">
        <v>342</v>
      </c>
      <c r="F26" s="16">
        <v>73</v>
      </c>
      <c r="G26" s="16">
        <v>15</v>
      </c>
      <c r="H26" s="17">
        <v>1.6565164433617539</v>
      </c>
      <c r="I26" s="16">
        <v>659</v>
      </c>
      <c r="J26" s="16">
        <v>158</v>
      </c>
      <c r="K26" s="21">
        <f t="shared" si="3"/>
        <v>19.244823386114497</v>
      </c>
    </row>
    <row r="27" spans="1:11" ht="12" customHeight="1" x14ac:dyDescent="0.2">
      <c r="A27" s="20" t="s">
        <v>28</v>
      </c>
      <c r="B27" s="16">
        <v>6654</v>
      </c>
      <c r="C27" s="16">
        <f t="shared" si="2"/>
        <v>1148</v>
      </c>
      <c r="D27" s="16">
        <v>581</v>
      </c>
      <c r="E27" s="16">
        <v>439</v>
      </c>
      <c r="F27" s="16">
        <v>94</v>
      </c>
      <c r="G27" s="16">
        <v>34</v>
      </c>
      <c r="H27" s="17">
        <v>1.6411149825783973</v>
      </c>
      <c r="I27" s="16">
        <v>911</v>
      </c>
      <c r="J27" s="16">
        <v>227</v>
      </c>
      <c r="K27" s="21">
        <f t="shared" si="3"/>
        <v>19.773519163763069</v>
      </c>
    </row>
    <row r="28" spans="1:11" ht="12" customHeight="1" x14ac:dyDescent="0.2">
      <c r="A28" s="20" t="s">
        <v>29</v>
      </c>
      <c r="B28" s="16">
        <v>11476</v>
      </c>
      <c r="C28" s="16">
        <f t="shared" si="2"/>
        <v>2347</v>
      </c>
      <c r="D28" s="16">
        <v>1116</v>
      </c>
      <c r="E28" s="16">
        <v>911</v>
      </c>
      <c r="F28" s="16">
        <v>243</v>
      </c>
      <c r="G28" s="16">
        <v>77</v>
      </c>
      <c r="H28" s="17">
        <v>1.7034512143161482</v>
      </c>
      <c r="I28" s="16">
        <v>1883</v>
      </c>
      <c r="J28" s="16">
        <v>451</v>
      </c>
      <c r="K28" s="21">
        <f t="shared" si="3"/>
        <v>19.216020451640393</v>
      </c>
    </row>
    <row r="29" spans="1:11" ht="12" customHeight="1" x14ac:dyDescent="0.2">
      <c r="A29" s="20" t="s">
        <v>30</v>
      </c>
      <c r="B29" s="16">
        <v>5466</v>
      </c>
      <c r="C29" s="16">
        <f t="shared" si="2"/>
        <v>1398</v>
      </c>
      <c r="D29" s="16">
        <v>685</v>
      </c>
      <c r="E29" s="16">
        <v>510</v>
      </c>
      <c r="F29" s="16">
        <v>157</v>
      </c>
      <c r="G29" s="16">
        <v>46</v>
      </c>
      <c r="H29" s="17">
        <v>1.698140200286123</v>
      </c>
      <c r="I29" s="16">
        <v>1156</v>
      </c>
      <c r="J29" s="16">
        <v>237</v>
      </c>
      <c r="K29" s="21">
        <f t="shared" si="3"/>
        <v>16.952789699570818</v>
      </c>
    </row>
    <row r="30" spans="1:11" ht="12" customHeight="1" x14ac:dyDescent="0.2">
      <c r="A30" s="20" t="s">
        <v>31</v>
      </c>
      <c r="B30" s="16">
        <v>7876</v>
      </c>
      <c r="C30" s="16">
        <f t="shared" si="2"/>
        <v>1595</v>
      </c>
      <c r="D30" s="16">
        <v>814</v>
      </c>
      <c r="E30" s="16">
        <v>588</v>
      </c>
      <c r="F30" s="16">
        <v>155</v>
      </c>
      <c r="G30" s="16">
        <v>38</v>
      </c>
      <c r="H30" s="17">
        <v>1.6376175548589342</v>
      </c>
      <c r="I30" s="16">
        <v>1288</v>
      </c>
      <c r="J30" s="16">
        <v>297</v>
      </c>
      <c r="K30" s="21">
        <f t="shared" si="3"/>
        <v>18.620689655172416</v>
      </c>
    </row>
    <row r="31" spans="1:11" ht="12" customHeight="1" x14ac:dyDescent="0.2">
      <c r="A31" s="20" t="s">
        <v>32</v>
      </c>
      <c r="B31" s="16">
        <v>22109</v>
      </c>
      <c r="C31" s="16">
        <f t="shared" si="2"/>
        <v>3807</v>
      </c>
      <c r="D31" s="16">
        <v>1891</v>
      </c>
      <c r="E31" s="16">
        <v>1484</v>
      </c>
      <c r="F31" s="16">
        <v>346</v>
      </c>
      <c r="G31" s="16">
        <v>86</v>
      </c>
      <c r="H31" s="17">
        <v>1.6474914630943001</v>
      </c>
      <c r="I31" s="16">
        <v>3045</v>
      </c>
      <c r="J31" s="16">
        <v>742</v>
      </c>
      <c r="K31" s="21">
        <f t="shared" si="3"/>
        <v>19.490412398213817</v>
      </c>
    </row>
    <row r="32" spans="1:11" ht="12" customHeight="1" x14ac:dyDescent="0.2">
      <c r="A32" s="20" t="s">
        <v>33</v>
      </c>
      <c r="B32" s="16">
        <v>4510</v>
      </c>
      <c r="C32" s="16">
        <f t="shared" si="2"/>
        <v>829</v>
      </c>
      <c r="D32" s="16">
        <v>441</v>
      </c>
      <c r="E32" s="16">
        <v>310</v>
      </c>
      <c r="F32" s="16">
        <v>57</v>
      </c>
      <c r="G32" s="16">
        <v>21</v>
      </c>
      <c r="H32" s="17">
        <v>1.6067551266586249</v>
      </c>
      <c r="I32" s="16">
        <v>678</v>
      </c>
      <c r="J32" s="16">
        <v>149</v>
      </c>
      <c r="K32" s="21">
        <f t="shared" si="3"/>
        <v>17.973462002412546</v>
      </c>
    </row>
    <row r="33" spans="1:11" ht="12" customHeight="1" x14ac:dyDescent="0.2">
      <c r="A33" s="20" t="s">
        <v>34</v>
      </c>
      <c r="B33" s="16">
        <v>14023</v>
      </c>
      <c r="C33" s="16">
        <f t="shared" si="2"/>
        <v>3309</v>
      </c>
      <c r="D33" s="16">
        <v>1511</v>
      </c>
      <c r="E33" s="16">
        <v>1351</v>
      </c>
      <c r="F33" s="16">
        <v>350</v>
      </c>
      <c r="G33" s="16">
        <v>97</v>
      </c>
      <c r="H33" s="17">
        <v>1.7138108189785433</v>
      </c>
      <c r="I33" s="16">
        <v>2722</v>
      </c>
      <c r="J33" s="16">
        <v>567</v>
      </c>
      <c r="K33" s="21">
        <f t="shared" si="3"/>
        <v>17.1350861287398</v>
      </c>
    </row>
    <row r="34" spans="1:11" ht="12" customHeight="1" x14ac:dyDescent="0.2">
      <c r="A34" s="20" t="s">
        <v>35</v>
      </c>
      <c r="B34" s="16">
        <v>16901</v>
      </c>
      <c r="C34" s="16">
        <f t="shared" si="2"/>
        <v>3465</v>
      </c>
      <c r="D34" s="16">
        <v>1787</v>
      </c>
      <c r="E34" s="16">
        <v>1250</v>
      </c>
      <c r="F34" s="16">
        <v>330</v>
      </c>
      <c r="G34" s="16">
        <v>98</v>
      </c>
      <c r="H34" s="17">
        <v>1.6476190476190475</v>
      </c>
      <c r="I34" s="16">
        <v>2698</v>
      </c>
      <c r="J34" s="16">
        <v>749</v>
      </c>
      <c r="K34" s="21">
        <f t="shared" si="3"/>
        <v>21.616161616161616</v>
      </c>
    </row>
    <row r="35" spans="1:11" ht="12" customHeight="1" x14ac:dyDescent="0.2">
      <c r="A35" s="22" t="s">
        <v>36</v>
      </c>
      <c r="B35" s="16">
        <f>SUM(B17:B34)</f>
        <v>192393</v>
      </c>
      <c r="C35" s="16">
        <f t="shared" si="2"/>
        <v>38816</v>
      </c>
      <c r="D35" s="16">
        <f>SUM(D17:D34)</f>
        <v>19040</v>
      </c>
      <c r="E35" s="16">
        <f>SUM(E17:E34)</f>
        <v>14814</v>
      </c>
      <c r="F35" s="16">
        <f>SUM(F17:F34)</f>
        <v>3903</v>
      </c>
      <c r="G35" s="16">
        <f>SUM(G17:G34)</f>
        <v>1059</v>
      </c>
      <c r="H35" s="17">
        <v>1.6735882110469908</v>
      </c>
      <c r="I35" s="16">
        <f>SUM(I17:I34)</f>
        <v>31156</v>
      </c>
      <c r="J35" s="16">
        <f>SUM(J17:J34)</f>
        <v>7451</v>
      </c>
      <c r="K35" s="21">
        <f t="shared" si="3"/>
        <v>19.195692497938992</v>
      </c>
    </row>
    <row r="36" spans="1:11" ht="12" customHeight="1" x14ac:dyDescent="0.2">
      <c r="A36" s="9"/>
      <c r="B36" s="16"/>
      <c r="C36" s="16"/>
      <c r="D36" s="16"/>
      <c r="E36" s="16"/>
      <c r="F36" s="16"/>
      <c r="G36" s="16"/>
      <c r="H36" s="17"/>
      <c r="I36" s="16"/>
      <c r="J36" s="16"/>
      <c r="K36" s="21"/>
    </row>
    <row r="37" spans="1:11" ht="12" customHeight="1" x14ac:dyDescent="0.2">
      <c r="A37" s="22" t="s">
        <v>37</v>
      </c>
      <c r="B37" s="16">
        <f>B15+B35</f>
        <v>298279</v>
      </c>
      <c r="C37" s="16">
        <f>SUM(D37:G37)</f>
        <v>54704</v>
      </c>
      <c r="D37" s="16">
        <f>D15+D35</f>
        <v>27673</v>
      </c>
      <c r="E37" s="16">
        <f>E15+E35</f>
        <v>20225</v>
      </c>
      <c r="F37" s="16">
        <f>F15+F35</f>
        <v>5322</v>
      </c>
      <c r="G37" s="16">
        <f>G15+G35</f>
        <v>1484</v>
      </c>
      <c r="H37" s="17">
        <v>1.6544494004094765</v>
      </c>
      <c r="I37" s="16">
        <f>I15+I35</f>
        <v>43110</v>
      </c>
      <c r="J37" s="16">
        <f>J15+J35</f>
        <v>11292</v>
      </c>
      <c r="K37" s="21">
        <f>+J37/C37*100</f>
        <v>20.642000584966365</v>
      </c>
    </row>
    <row r="38" spans="1:11" ht="12" customHeight="1" x14ac:dyDescent="0.2">
      <c r="A38" s="23" t="s">
        <v>38</v>
      </c>
      <c r="B38" s="18"/>
      <c r="C38" s="15"/>
      <c r="D38" s="15"/>
      <c r="E38" s="15"/>
      <c r="F38" s="15"/>
      <c r="G38" s="24"/>
      <c r="H38" s="15"/>
      <c r="I38" s="15"/>
      <c r="J38" s="15"/>
      <c r="K38" s="15"/>
    </row>
    <row r="39" spans="1:11" ht="12" customHeight="1" x14ac:dyDescent="0.2">
      <c r="A39" s="19" t="s">
        <v>55</v>
      </c>
      <c r="B39" s="15"/>
      <c r="C39" s="15"/>
      <c r="D39" s="15"/>
      <c r="E39" s="15"/>
      <c r="F39" s="15"/>
      <c r="G39" s="24"/>
      <c r="H39" s="15"/>
      <c r="I39" s="15"/>
      <c r="J39" s="15"/>
      <c r="K39" s="15"/>
    </row>
    <row r="40" spans="1:11" ht="12" customHeight="1" x14ac:dyDescent="0.2"/>
    <row r="41" spans="1:11" ht="12" customHeight="1" x14ac:dyDescent="0.2"/>
    <row r="42" spans="1:11" ht="12" customHeight="1" x14ac:dyDescent="0.2"/>
    <row r="43" spans="1:11" ht="12" customHeight="1" x14ac:dyDescent="0.2"/>
    <row r="44" spans="1:11" ht="12" customHeight="1" x14ac:dyDescent="0.2"/>
    <row r="45" spans="1:11" ht="12" customHeight="1" x14ac:dyDescent="0.2"/>
    <row r="46" spans="1:11" ht="12" customHeight="1" x14ac:dyDescent="0.2"/>
    <row r="47" spans="1:11" ht="12" customHeight="1" x14ac:dyDescent="0.2"/>
    <row r="48" spans="1:11" ht="11.25" x14ac:dyDescent="0.2"/>
    <row r="49" s="2" customFormat="1" ht="11.25" x14ac:dyDescent="0.2"/>
    <row r="50" s="2" customFormat="1" ht="11.25" x14ac:dyDescent="0.2"/>
    <row r="51" ht="11.25" x14ac:dyDescent="0.2"/>
    <row r="52" ht="11.25" x14ac:dyDescent="0.2"/>
    <row r="53" ht="11.25" x14ac:dyDescent="0.2"/>
    <row r="54" ht="11.25" x14ac:dyDescent="0.2"/>
    <row r="55" ht="11.25" x14ac:dyDescent="0.2"/>
    <row r="56" ht="11.25" x14ac:dyDescent="0.2"/>
    <row r="57" ht="11.25" x14ac:dyDescent="0.2"/>
    <row r="58" ht="11.25" x14ac:dyDescent="0.2"/>
    <row r="59" ht="11.25" x14ac:dyDescent="0.2"/>
    <row r="60" ht="11.25" x14ac:dyDescent="0.2"/>
    <row r="61" ht="11.25" x14ac:dyDescent="0.2"/>
    <row r="62" ht="11.25" x14ac:dyDescent="0.2"/>
    <row r="63" ht="11.25" x14ac:dyDescent="0.2"/>
    <row r="67" spans="1:1" ht="12.75" customHeight="1" x14ac:dyDescent="0.2">
      <c r="A67" s="2"/>
    </row>
  </sheetData>
  <mergeCells count="4">
    <mergeCell ref="A6:A8"/>
    <mergeCell ref="B6:B8"/>
    <mergeCell ref="C7:C8"/>
    <mergeCell ref="I7:I8"/>
  </mergeCells>
  <phoneticPr fontId="0" type="noConversion"/>
  <pageMargins left="0.59055118110236227" right="0.59055118110236227" top="0.59055118110236227" bottom="0.59055118110236227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8"/>
  <dimension ref="A1:K67"/>
  <sheetViews>
    <sheetView workbookViewId="0">
      <selection activeCell="M1" sqref="M1:M65536"/>
    </sheetView>
  </sheetViews>
  <sheetFormatPr baseColWidth="10" defaultColWidth="9.83203125" defaultRowHeight="12.75" customHeight="1" x14ac:dyDescent="0.2"/>
  <cols>
    <col min="1" max="1" width="20.83203125" customWidth="1"/>
    <col min="2" max="4" width="9.6640625" customWidth="1"/>
    <col min="5" max="5" width="9" customWidth="1"/>
    <col min="6" max="6" width="9.6640625" customWidth="1"/>
    <col min="7" max="7" width="9" customWidth="1"/>
    <col min="8" max="9" width="9.6640625" customWidth="1"/>
    <col min="10" max="10" width="7.6640625" bestFit="1" customWidth="1"/>
    <col min="11" max="11" width="10" customWidth="1"/>
  </cols>
  <sheetData>
    <row r="1" spans="1:11" ht="12.75" customHeight="1" x14ac:dyDescent="0.2">
      <c r="A1" s="3" t="s">
        <v>52</v>
      </c>
      <c r="B1" s="3"/>
      <c r="C1" s="3"/>
      <c r="D1" s="3"/>
      <c r="E1" s="3"/>
      <c r="F1" s="3"/>
      <c r="G1" s="3"/>
      <c r="H1" s="1"/>
      <c r="I1" s="1"/>
      <c r="J1" s="1"/>
      <c r="K1" s="1"/>
    </row>
    <row r="3" spans="1:11" ht="12" customHeight="1" x14ac:dyDescent="0.2">
      <c r="A3" s="25" t="s">
        <v>58</v>
      </c>
      <c r="B3" s="26"/>
      <c r="C3" s="26"/>
      <c r="D3" s="26"/>
      <c r="E3" s="26"/>
      <c r="F3" s="26"/>
      <c r="G3" s="26"/>
      <c r="H3" s="26"/>
      <c r="I3" s="26"/>
      <c r="J3" s="26"/>
      <c r="K3" s="26"/>
    </row>
    <row r="4" spans="1:11" ht="12" customHeight="1" x14ac:dyDescent="0.2">
      <c r="A4" s="25" t="s">
        <v>0</v>
      </c>
      <c r="B4" s="26"/>
      <c r="C4" s="26"/>
      <c r="D4" s="26"/>
      <c r="E4" s="26"/>
      <c r="F4" s="26"/>
      <c r="G4" s="26"/>
      <c r="H4" s="26"/>
      <c r="I4" s="26"/>
      <c r="J4" s="26"/>
      <c r="K4" s="26"/>
    </row>
    <row r="5" spans="1:11" ht="12" customHeight="1" x14ac:dyDescent="0.2">
      <c r="A5" s="4"/>
      <c r="B5" s="5"/>
      <c r="C5" s="5"/>
      <c r="D5" s="5"/>
      <c r="E5" s="5"/>
      <c r="F5" s="5"/>
      <c r="G5" s="5"/>
      <c r="H5" s="5"/>
      <c r="I5" s="5"/>
      <c r="J5" s="5"/>
      <c r="K5" s="5"/>
    </row>
    <row r="6" spans="1:11" ht="12" customHeight="1" x14ac:dyDescent="0.2">
      <c r="A6" s="192" t="s">
        <v>2</v>
      </c>
      <c r="B6" s="190" t="s">
        <v>86</v>
      </c>
      <c r="C6" s="6" t="s">
        <v>1</v>
      </c>
      <c r="D6" s="6"/>
      <c r="E6" s="6"/>
      <c r="F6" s="6"/>
      <c r="G6" s="6"/>
      <c r="H6" s="6"/>
      <c r="I6" s="6"/>
      <c r="J6" s="6"/>
      <c r="K6" s="6"/>
    </row>
    <row r="7" spans="1:11" ht="12" customHeight="1" x14ac:dyDescent="0.2">
      <c r="A7" s="173"/>
      <c r="B7" s="176"/>
      <c r="C7" s="191" t="s">
        <v>3</v>
      </c>
      <c r="D7" s="6" t="s">
        <v>4</v>
      </c>
      <c r="E7" s="6"/>
      <c r="F7" s="6"/>
      <c r="G7" s="6"/>
      <c r="H7" s="7" t="s">
        <v>5</v>
      </c>
      <c r="I7" s="191" t="s">
        <v>6</v>
      </c>
      <c r="J7" s="8" t="s">
        <v>7</v>
      </c>
      <c r="K7" s="6"/>
    </row>
    <row r="8" spans="1:11" ht="12" customHeight="1" x14ac:dyDescent="0.2">
      <c r="A8" s="174"/>
      <c r="B8" s="177"/>
      <c r="C8" s="179"/>
      <c r="D8" s="85">
        <v>1</v>
      </c>
      <c r="E8" s="86">
        <v>2</v>
      </c>
      <c r="F8" s="11">
        <v>3</v>
      </c>
      <c r="G8" s="12" t="s">
        <v>8</v>
      </c>
      <c r="H8" s="13" t="s">
        <v>9</v>
      </c>
      <c r="I8" s="179"/>
      <c r="J8" s="10" t="s">
        <v>10</v>
      </c>
      <c r="K8" s="14" t="s">
        <v>11</v>
      </c>
    </row>
    <row r="9" spans="1:11" ht="12" customHeight="1" x14ac:dyDescent="0.2">
      <c r="A9" s="9"/>
      <c r="B9" s="15"/>
      <c r="C9" s="15"/>
      <c r="D9" s="15"/>
      <c r="E9" s="15"/>
      <c r="F9" s="15"/>
      <c r="G9" s="15"/>
      <c r="H9" s="15"/>
      <c r="I9" s="15"/>
      <c r="J9" s="15"/>
      <c r="K9" s="15"/>
    </row>
    <row r="10" spans="1:11" ht="12" customHeight="1" x14ac:dyDescent="0.2">
      <c r="A10" s="20" t="s">
        <v>12</v>
      </c>
      <c r="B10" s="16">
        <v>13533</v>
      </c>
      <c r="C10" s="16">
        <f>SUM(D10:G10)</f>
        <v>1481</v>
      </c>
      <c r="D10" s="16">
        <v>828</v>
      </c>
      <c r="E10" s="16">
        <v>472</v>
      </c>
      <c r="F10" s="16">
        <v>128</v>
      </c>
      <c r="G10" s="16">
        <v>53</v>
      </c>
      <c r="H10" s="17">
        <v>1.6185010128291695</v>
      </c>
      <c r="I10" s="16">
        <v>1112</v>
      </c>
      <c r="J10" s="16">
        <v>360</v>
      </c>
      <c r="K10" s="21">
        <f t="shared" ref="K10:K15" si="0">+J10/C10*100</f>
        <v>24.307900067521945</v>
      </c>
    </row>
    <row r="11" spans="1:11" ht="12" customHeight="1" x14ac:dyDescent="0.2">
      <c r="A11" s="20" t="s">
        <v>13</v>
      </c>
      <c r="B11" s="16">
        <v>12976</v>
      </c>
      <c r="C11" s="16">
        <f>SUM(D11:G11)</f>
        <v>2281</v>
      </c>
      <c r="D11" s="16">
        <v>1190</v>
      </c>
      <c r="E11" s="16">
        <v>795</v>
      </c>
      <c r="F11" s="16">
        <v>229</v>
      </c>
      <c r="G11" s="16">
        <v>67</v>
      </c>
      <c r="H11" s="17">
        <v>1.6466462078035948</v>
      </c>
      <c r="I11" s="16">
        <v>1793</v>
      </c>
      <c r="J11" s="16">
        <v>476</v>
      </c>
      <c r="K11" s="21">
        <f t="shared" si="0"/>
        <v>20.868040333187199</v>
      </c>
    </row>
    <row r="12" spans="1:11" ht="12" customHeight="1" x14ac:dyDescent="0.2">
      <c r="A12" s="20" t="s">
        <v>14</v>
      </c>
      <c r="B12" s="16">
        <v>25376</v>
      </c>
      <c r="C12" s="16">
        <f>SUM(D12:G12)</f>
        <v>4435</v>
      </c>
      <c r="D12" s="16">
        <v>2423</v>
      </c>
      <c r="E12" s="16">
        <v>1530</v>
      </c>
      <c r="F12" s="16">
        <v>374</v>
      </c>
      <c r="G12" s="16">
        <v>108</v>
      </c>
      <c r="H12" s="17">
        <v>1.5923337091319052</v>
      </c>
      <c r="I12" s="16">
        <v>3291</v>
      </c>
      <c r="J12" s="16">
        <v>1110</v>
      </c>
      <c r="K12" s="21">
        <f t="shared" si="0"/>
        <v>25.028184892897411</v>
      </c>
    </row>
    <row r="13" spans="1:11" ht="12" customHeight="1" x14ac:dyDescent="0.2">
      <c r="A13" s="20" t="s">
        <v>15</v>
      </c>
      <c r="B13" s="16">
        <v>23890</v>
      </c>
      <c r="C13" s="16">
        <f>SUM(D13:G13)</f>
        <v>3644</v>
      </c>
      <c r="D13" s="16">
        <v>1960</v>
      </c>
      <c r="E13" s="16">
        <v>1224</v>
      </c>
      <c r="F13" s="16">
        <v>363</v>
      </c>
      <c r="G13" s="16">
        <v>97</v>
      </c>
      <c r="H13" s="17">
        <v>1.6262349066959385</v>
      </c>
      <c r="I13" s="16">
        <v>2796</v>
      </c>
      <c r="J13" s="16">
        <v>823</v>
      </c>
      <c r="K13" s="21">
        <f t="shared" si="0"/>
        <v>22.585071350164654</v>
      </c>
    </row>
    <row r="14" spans="1:11" ht="12" customHeight="1" x14ac:dyDescent="0.2">
      <c r="A14" s="20" t="s">
        <v>16</v>
      </c>
      <c r="B14" s="16">
        <v>29061</v>
      </c>
      <c r="C14" s="16">
        <f>SUM(D14:G14)</f>
        <v>3971</v>
      </c>
      <c r="D14" s="16">
        <v>2184</v>
      </c>
      <c r="E14" s="16">
        <v>1380</v>
      </c>
      <c r="F14" s="16">
        <v>323</v>
      </c>
      <c r="G14" s="16">
        <v>84</v>
      </c>
      <c r="H14" s="17">
        <v>1.5791991941576429</v>
      </c>
      <c r="I14" s="16">
        <v>3011</v>
      </c>
      <c r="J14" s="16">
        <v>944</v>
      </c>
      <c r="K14" s="21">
        <f t="shared" si="0"/>
        <v>23.772349534122387</v>
      </c>
    </row>
    <row r="15" spans="1:11" ht="12" customHeight="1" x14ac:dyDescent="0.2">
      <c r="A15" s="22" t="s">
        <v>17</v>
      </c>
      <c r="B15" s="16">
        <f t="shared" ref="B15:G15" si="1">SUM(B10:B14)</f>
        <v>104836</v>
      </c>
      <c r="C15" s="16">
        <f t="shared" si="1"/>
        <v>15812</v>
      </c>
      <c r="D15" s="16">
        <f t="shared" si="1"/>
        <v>8585</v>
      </c>
      <c r="E15" s="16">
        <f t="shared" si="1"/>
        <v>5401</v>
      </c>
      <c r="F15" s="16">
        <f t="shared" si="1"/>
        <v>1417</v>
      </c>
      <c r="G15" s="16">
        <f t="shared" si="1"/>
        <v>409</v>
      </c>
      <c r="H15" s="81">
        <v>1.6071338224133569</v>
      </c>
      <c r="I15" s="16">
        <f>SUM(I10:I14)</f>
        <v>12003</v>
      </c>
      <c r="J15" s="16">
        <f>SUM(J10:J14)</f>
        <v>3713</v>
      </c>
      <c r="K15" s="21">
        <f t="shared" si="0"/>
        <v>23.482165443966608</v>
      </c>
    </row>
    <row r="16" spans="1:11" ht="12" customHeight="1" x14ac:dyDescent="0.2">
      <c r="A16" s="9"/>
      <c r="B16" s="16"/>
      <c r="C16" s="16"/>
      <c r="D16" s="16"/>
      <c r="E16" s="16"/>
      <c r="F16" s="16"/>
      <c r="G16" s="16"/>
      <c r="H16" s="17"/>
      <c r="I16" s="16"/>
      <c r="J16" s="16"/>
      <c r="K16" s="21"/>
    </row>
    <row r="17" spans="1:11" ht="12" customHeight="1" x14ac:dyDescent="0.2">
      <c r="A17" s="20" t="s">
        <v>18</v>
      </c>
      <c r="B17" s="16">
        <v>32453</v>
      </c>
      <c r="C17" s="16">
        <f t="shared" ref="C17:C35" si="2">SUM(D17:G17)</f>
        <v>6934</v>
      </c>
      <c r="D17" s="16">
        <v>3464</v>
      </c>
      <c r="E17" s="16">
        <v>2514</v>
      </c>
      <c r="F17" s="16">
        <v>759</v>
      </c>
      <c r="G17" s="16">
        <v>197</v>
      </c>
      <c r="H17" s="17">
        <v>1.6779636573406402</v>
      </c>
      <c r="I17" s="16">
        <v>5561</v>
      </c>
      <c r="J17" s="16">
        <v>1330</v>
      </c>
      <c r="K17" s="21">
        <f t="shared" ref="K17:K35" si="3">+J17/C17*100</f>
        <v>19.180847995385058</v>
      </c>
    </row>
    <row r="18" spans="1:11" ht="12" customHeight="1" x14ac:dyDescent="0.2">
      <c r="A18" s="20" t="s">
        <v>19</v>
      </c>
      <c r="B18" s="16">
        <v>3136</v>
      </c>
      <c r="C18" s="16">
        <f t="shared" si="2"/>
        <v>573</v>
      </c>
      <c r="D18" s="16">
        <v>283</v>
      </c>
      <c r="E18" s="16">
        <v>209</v>
      </c>
      <c r="F18" s="16">
        <v>65</v>
      </c>
      <c r="G18" s="16">
        <v>16</v>
      </c>
      <c r="H18" s="17">
        <v>1.6928446771378709</v>
      </c>
      <c r="I18" s="16">
        <v>453</v>
      </c>
      <c r="J18" s="16">
        <v>117</v>
      </c>
      <c r="K18" s="21">
        <f t="shared" si="3"/>
        <v>20.418848167539267</v>
      </c>
    </row>
    <row r="19" spans="1:11" ht="12" customHeight="1" x14ac:dyDescent="0.2">
      <c r="A19" s="20" t="s">
        <v>20</v>
      </c>
      <c r="B19" s="16">
        <v>6602</v>
      </c>
      <c r="C19" s="16">
        <f t="shared" si="2"/>
        <v>1175</v>
      </c>
      <c r="D19" s="16">
        <v>569</v>
      </c>
      <c r="E19" s="16">
        <v>455</v>
      </c>
      <c r="F19" s="16">
        <v>116</v>
      </c>
      <c r="G19" s="16">
        <v>35</v>
      </c>
      <c r="H19" s="17">
        <v>1.68</v>
      </c>
      <c r="I19" s="16">
        <v>957</v>
      </c>
      <c r="J19" s="16">
        <v>210</v>
      </c>
      <c r="K19" s="21">
        <f t="shared" si="3"/>
        <v>17.872340425531917</v>
      </c>
    </row>
    <row r="20" spans="1:11" ht="12" customHeight="1" x14ac:dyDescent="0.2">
      <c r="A20" s="20" t="s">
        <v>21</v>
      </c>
      <c r="B20" s="16">
        <v>8762</v>
      </c>
      <c r="C20" s="16">
        <f t="shared" si="2"/>
        <v>1582</v>
      </c>
      <c r="D20" s="16">
        <v>797</v>
      </c>
      <c r="E20" s="16">
        <v>611</v>
      </c>
      <c r="F20" s="16">
        <v>141</v>
      </c>
      <c r="G20" s="16">
        <v>33</v>
      </c>
      <c r="H20" s="17">
        <v>1.6333754740834387</v>
      </c>
      <c r="I20" s="16">
        <v>1268</v>
      </c>
      <c r="J20" s="16">
        <v>297</v>
      </c>
      <c r="K20" s="21">
        <f t="shared" si="3"/>
        <v>18.773704171934259</v>
      </c>
    </row>
    <row r="21" spans="1:11" ht="12" customHeight="1" x14ac:dyDescent="0.2">
      <c r="A21" s="20" t="s">
        <v>22</v>
      </c>
      <c r="B21" s="16">
        <v>14029</v>
      </c>
      <c r="C21" s="16">
        <f t="shared" si="2"/>
        <v>2633</v>
      </c>
      <c r="D21" s="16">
        <v>1321</v>
      </c>
      <c r="E21" s="16">
        <v>979</v>
      </c>
      <c r="F21" s="16">
        <v>273</v>
      </c>
      <c r="G21" s="16">
        <v>60</v>
      </c>
      <c r="H21" s="17">
        <v>1.6559058108621345</v>
      </c>
      <c r="I21" s="16">
        <v>2142</v>
      </c>
      <c r="J21" s="16">
        <v>474</v>
      </c>
      <c r="K21" s="21">
        <f t="shared" si="3"/>
        <v>18.002278769464489</v>
      </c>
    </row>
    <row r="22" spans="1:11" ht="12" customHeight="1" x14ac:dyDescent="0.2">
      <c r="A22" s="20" t="s">
        <v>23</v>
      </c>
      <c r="B22" s="16">
        <v>4507</v>
      </c>
      <c r="C22" s="16">
        <f t="shared" si="2"/>
        <v>938</v>
      </c>
      <c r="D22" s="16">
        <v>443</v>
      </c>
      <c r="E22" s="16">
        <v>370</v>
      </c>
      <c r="F22" s="16">
        <v>100</v>
      </c>
      <c r="G22" s="16">
        <v>25</v>
      </c>
      <c r="H22" s="17">
        <v>1.6929637526652452</v>
      </c>
      <c r="I22" s="16">
        <v>774</v>
      </c>
      <c r="J22" s="16">
        <v>159</v>
      </c>
      <c r="K22" s="21">
        <f t="shared" si="3"/>
        <v>16.950959488272922</v>
      </c>
    </row>
    <row r="23" spans="1:11" ht="12" customHeight="1" x14ac:dyDescent="0.2">
      <c r="A23" s="20" t="s">
        <v>24</v>
      </c>
      <c r="B23" s="16">
        <v>14649</v>
      </c>
      <c r="C23" s="16">
        <f t="shared" si="2"/>
        <v>2806</v>
      </c>
      <c r="D23" s="16">
        <v>1356</v>
      </c>
      <c r="E23" s="16">
        <v>1093</v>
      </c>
      <c r="F23" s="16">
        <v>284</v>
      </c>
      <c r="G23" s="16">
        <v>73</v>
      </c>
      <c r="H23" s="17">
        <v>1.6781895937277262</v>
      </c>
      <c r="I23" s="16">
        <v>2251</v>
      </c>
      <c r="J23" s="16">
        <v>542</v>
      </c>
      <c r="K23" s="21">
        <f t="shared" si="3"/>
        <v>19.315751960085532</v>
      </c>
    </row>
    <row r="24" spans="1:11" ht="12" customHeight="1" x14ac:dyDescent="0.2">
      <c r="A24" s="20" t="s">
        <v>25</v>
      </c>
      <c r="B24" s="16">
        <v>11591</v>
      </c>
      <c r="C24" s="16">
        <f t="shared" si="2"/>
        <v>2761</v>
      </c>
      <c r="D24" s="16">
        <v>1285</v>
      </c>
      <c r="E24" s="16">
        <v>1054</v>
      </c>
      <c r="F24" s="16">
        <v>331</v>
      </c>
      <c r="G24" s="16">
        <v>91</v>
      </c>
      <c r="H24" s="17">
        <v>1.73053241579138</v>
      </c>
      <c r="I24" s="16">
        <v>2247</v>
      </c>
      <c r="J24" s="16">
        <v>496</v>
      </c>
      <c r="K24" s="21">
        <f t="shared" si="3"/>
        <v>17.964505613908006</v>
      </c>
    </row>
    <row r="25" spans="1:11" ht="12" customHeight="1" x14ac:dyDescent="0.2">
      <c r="A25" s="20" t="s">
        <v>26</v>
      </c>
      <c r="B25" s="16">
        <v>3203</v>
      </c>
      <c r="C25" s="16">
        <f t="shared" si="2"/>
        <v>607</v>
      </c>
      <c r="D25" s="16">
        <v>309</v>
      </c>
      <c r="E25" s="16">
        <v>241</v>
      </c>
      <c r="F25" s="16">
        <v>44</v>
      </c>
      <c r="G25" s="16">
        <v>13</v>
      </c>
      <c r="H25" s="17">
        <v>1.6079077429983526</v>
      </c>
      <c r="I25" s="16">
        <v>487</v>
      </c>
      <c r="J25" s="16">
        <v>119</v>
      </c>
      <c r="K25" s="21">
        <f t="shared" si="3"/>
        <v>19.604612850082372</v>
      </c>
    </row>
    <row r="26" spans="1:11" ht="12" customHeight="1" x14ac:dyDescent="0.2">
      <c r="A26" s="20" t="s">
        <v>27</v>
      </c>
      <c r="B26" s="16">
        <v>3829</v>
      </c>
      <c r="C26" s="16">
        <f t="shared" si="2"/>
        <v>810</v>
      </c>
      <c r="D26" s="16">
        <v>380</v>
      </c>
      <c r="E26" s="16">
        <v>337</v>
      </c>
      <c r="F26" s="16">
        <v>78</v>
      </c>
      <c r="G26" s="16">
        <v>15</v>
      </c>
      <c r="H26" s="17">
        <v>1.6679012345679012</v>
      </c>
      <c r="I26" s="16">
        <v>662</v>
      </c>
      <c r="J26" s="16">
        <v>139</v>
      </c>
      <c r="K26" s="21">
        <f t="shared" si="3"/>
        <v>17.160493827160494</v>
      </c>
    </row>
    <row r="27" spans="1:11" ht="12" customHeight="1" x14ac:dyDescent="0.2">
      <c r="A27" s="20" t="s">
        <v>28</v>
      </c>
      <c r="B27" s="16">
        <v>6585</v>
      </c>
      <c r="C27" s="16">
        <f t="shared" si="2"/>
        <v>1143</v>
      </c>
      <c r="D27" s="16">
        <v>563</v>
      </c>
      <c r="E27" s="16">
        <v>455</v>
      </c>
      <c r="F27" s="16">
        <v>96</v>
      </c>
      <c r="G27" s="16">
        <v>29</v>
      </c>
      <c r="H27" s="17">
        <v>1.6482939632545932</v>
      </c>
      <c r="I27" s="16">
        <v>931</v>
      </c>
      <c r="J27" s="16">
        <v>208</v>
      </c>
      <c r="K27" s="21">
        <f t="shared" si="3"/>
        <v>18.197725284339459</v>
      </c>
    </row>
    <row r="28" spans="1:11" ht="12" customHeight="1" x14ac:dyDescent="0.2">
      <c r="A28" s="20" t="s">
        <v>29</v>
      </c>
      <c r="B28" s="16">
        <v>11301</v>
      </c>
      <c r="C28" s="16">
        <f t="shared" si="2"/>
        <v>2332</v>
      </c>
      <c r="D28" s="16">
        <v>1097</v>
      </c>
      <c r="E28" s="16">
        <v>894</v>
      </c>
      <c r="F28" s="16">
        <v>257</v>
      </c>
      <c r="G28" s="16">
        <v>84</v>
      </c>
      <c r="H28" s="17">
        <v>1.7238421955403087</v>
      </c>
      <c r="I28" s="16">
        <v>1862</v>
      </c>
      <c r="J28" s="16">
        <v>451</v>
      </c>
      <c r="K28" s="21">
        <f t="shared" si="3"/>
        <v>19.339622641509436</v>
      </c>
    </row>
    <row r="29" spans="1:11" ht="12" customHeight="1" x14ac:dyDescent="0.2">
      <c r="A29" s="20" t="s">
        <v>30</v>
      </c>
      <c r="B29" s="16">
        <v>5439</v>
      </c>
      <c r="C29" s="16">
        <f t="shared" si="2"/>
        <v>1421</v>
      </c>
      <c r="D29" s="16">
        <v>677</v>
      </c>
      <c r="E29" s="16">
        <v>548</v>
      </c>
      <c r="F29" s="16">
        <v>148</v>
      </c>
      <c r="G29" s="16">
        <v>48</v>
      </c>
      <c r="H29" s="17">
        <v>1.7072484166080226</v>
      </c>
      <c r="I29" s="16">
        <v>1189</v>
      </c>
      <c r="J29" s="16">
        <v>223</v>
      </c>
      <c r="K29" s="21">
        <f t="shared" si="3"/>
        <v>15.693173821252641</v>
      </c>
    </row>
    <row r="30" spans="1:11" ht="12" customHeight="1" x14ac:dyDescent="0.2">
      <c r="A30" s="20" t="s">
        <v>31</v>
      </c>
      <c r="B30" s="16">
        <v>7799</v>
      </c>
      <c r="C30" s="16">
        <f t="shared" si="2"/>
        <v>1569</v>
      </c>
      <c r="D30" s="16">
        <v>792</v>
      </c>
      <c r="E30" s="16">
        <v>594</v>
      </c>
      <c r="F30" s="16">
        <v>144</v>
      </c>
      <c r="G30" s="16">
        <v>39</v>
      </c>
      <c r="H30" s="17">
        <v>1.6411727214786489</v>
      </c>
      <c r="I30" s="16">
        <v>1282</v>
      </c>
      <c r="J30" s="16">
        <v>277</v>
      </c>
      <c r="K30" s="21">
        <f t="shared" si="3"/>
        <v>17.654557042702358</v>
      </c>
    </row>
    <row r="31" spans="1:11" ht="12" customHeight="1" x14ac:dyDescent="0.2">
      <c r="A31" s="20" t="s">
        <v>32</v>
      </c>
      <c r="B31" s="16">
        <v>21931</v>
      </c>
      <c r="C31" s="16">
        <f t="shared" si="2"/>
        <v>3757</v>
      </c>
      <c r="D31" s="16">
        <v>1862</v>
      </c>
      <c r="E31" s="16">
        <v>1440</v>
      </c>
      <c r="F31" s="16">
        <v>360</v>
      </c>
      <c r="G31" s="16">
        <v>95</v>
      </c>
      <c r="H31" s="17">
        <v>1.6595688048975246</v>
      </c>
      <c r="I31" s="16">
        <v>3014</v>
      </c>
      <c r="J31" s="16">
        <v>721</v>
      </c>
      <c r="K31" s="21">
        <f t="shared" si="3"/>
        <v>19.190843758317808</v>
      </c>
    </row>
    <row r="32" spans="1:11" ht="12" customHeight="1" x14ac:dyDescent="0.2">
      <c r="A32" s="20" t="s">
        <v>33</v>
      </c>
      <c r="B32" s="16">
        <v>4476</v>
      </c>
      <c r="C32" s="16">
        <f t="shared" si="2"/>
        <v>844</v>
      </c>
      <c r="D32" s="16">
        <v>448</v>
      </c>
      <c r="E32" s="16">
        <v>314</v>
      </c>
      <c r="F32" s="16">
        <v>68</v>
      </c>
      <c r="G32" s="16">
        <v>14</v>
      </c>
      <c r="H32" s="17">
        <v>1.5995260663507109</v>
      </c>
      <c r="I32" s="16">
        <v>680</v>
      </c>
      <c r="J32" s="16">
        <v>157</v>
      </c>
      <c r="K32" s="21">
        <f t="shared" si="3"/>
        <v>18.601895734597157</v>
      </c>
    </row>
    <row r="33" spans="1:11" ht="12" customHeight="1" x14ac:dyDescent="0.2">
      <c r="A33" s="20" t="s">
        <v>34</v>
      </c>
      <c r="B33" s="16">
        <v>13756</v>
      </c>
      <c r="C33" s="16">
        <f t="shared" si="2"/>
        <v>3216</v>
      </c>
      <c r="D33" s="16">
        <v>1437</v>
      </c>
      <c r="E33" s="16">
        <v>1338</v>
      </c>
      <c r="F33" s="16">
        <v>346</v>
      </c>
      <c r="G33" s="16">
        <v>95</v>
      </c>
      <c r="H33" s="17">
        <v>1.7257462686567164</v>
      </c>
      <c r="I33" s="16">
        <v>2660</v>
      </c>
      <c r="J33" s="16">
        <v>539</v>
      </c>
      <c r="K33" s="21">
        <f t="shared" si="3"/>
        <v>16.759950248756219</v>
      </c>
    </row>
    <row r="34" spans="1:11" ht="12" customHeight="1" x14ac:dyDescent="0.2">
      <c r="A34" s="20" t="s">
        <v>35</v>
      </c>
      <c r="B34" s="16">
        <v>16666</v>
      </c>
      <c r="C34" s="16">
        <f t="shared" si="2"/>
        <v>3451</v>
      </c>
      <c r="D34" s="16">
        <v>1754</v>
      </c>
      <c r="E34" s="16">
        <v>1267</v>
      </c>
      <c r="F34" s="16">
        <v>335</v>
      </c>
      <c r="G34" s="16">
        <v>95</v>
      </c>
      <c r="H34" s="17">
        <v>1.6528542451463344</v>
      </c>
      <c r="I34" s="16">
        <v>2720</v>
      </c>
      <c r="J34" s="16">
        <v>705</v>
      </c>
      <c r="K34" s="21">
        <f t="shared" si="3"/>
        <v>20.428861199652275</v>
      </c>
    </row>
    <row r="35" spans="1:11" ht="12" customHeight="1" x14ac:dyDescent="0.2">
      <c r="A35" s="22" t="s">
        <v>36</v>
      </c>
      <c r="B35" s="16">
        <f>SUM(B17:B34)</f>
        <v>190714</v>
      </c>
      <c r="C35" s="16">
        <f t="shared" si="2"/>
        <v>38552</v>
      </c>
      <c r="D35" s="16">
        <f>SUM(D17:D34)</f>
        <v>18837</v>
      </c>
      <c r="E35" s="16">
        <f>SUM(E17:E34)</f>
        <v>14713</v>
      </c>
      <c r="F35" s="16">
        <f>SUM(F17:F34)</f>
        <v>3945</v>
      </c>
      <c r="G35" s="16">
        <f>SUM(G17:G34)</f>
        <v>1057</v>
      </c>
      <c r="H35" s="17">
        <v>1.6774486407968459</v>
      </c>
      <c r="I35" s="16">
        <f>SUM(I17:I34)</f>
        <v>31140</v>
      </c>
      <c r="J35" s="16">
        <f>SUM(J17:J34)</f>
        <v>7164</v>
      </c>
      <c r="K35" s="21">
        <f t="shared" si="3"/>
        <v>18.582693504876531</v>
      </c>
    </row>
    <row r="36" spans="1:11" ht="12" customHeight="1" x14ac:dyDescent="0.2">
      <c r="A36" s="9"/>
      <c r="B36" s="16"/>
      <c r="C36" s="16"/>
      <c r="D36" s="16"/>
      <c r="E36" s="16"/>
      <c r="F36" s="16"/>
      <c r="G36" s="16"/>
      <c r="H36" s="17"/>
      <c r="I36" s="16"/>
      <c r="J36" s="16"/>
      <c r="K36" s="21"/>
    </row>
    <row r="37" spans="1:11" ht="12" customHeight="1" x14ac:dyDescent="0.2">
      <c r="A37" s="22" t="s">
        <v>37</v>
      </c>
      <c r="B37" s="16">
        <f>B15+B35</f>
        <v>295550</v>
      </c>
      <c r="C37" s="16">
        <f>SUM(D37:G37)</f>
        <v>54364</v>
      </c>
      <c r="D37" s="16">
        <f>D15+D35</f>
        <v>27422</v>
      </c>
      <c r="E37" s="16">
        <f>E15+E35</f>
        <v>20114</v>
      </c>
      <c r="F37" s="16">
        <f>F15+F35</f>
        <v>5362</v>
      </c>
      <c r="G37" s="16">
        <f>G15+G35</f>
        <v>1466</v>
      </c>
      <c r="H37" s="17">
        <v>1.6569972776101831</v>
      </c>
      <c r="I37" s="16">
        <f>I15+I35</f>
        <v>43143</v>
      </c>
      <c r="J37" s="16">
        <f>J15+J35</f>
        <v>10877</v>
      </c>
      <c r="K37" s="21">
        <f>+J37/C37*100</f>
        <v>20.007725700831433</v>
      </c>
    </row>
    <row r="38" spans="1:11" ht="12" customHeight="1" x14ac:dyDescent="0.2">
      <c r="A38" s="23" t="s">
        <v>38</v>
      </c>
      <c r="B38" s="18"/>
      <c r="C38" s="15"/>
      <c r="D38" s="15"/>
      <c r="E38" s="15"/>
      <c r="F38" s="15"/>
      <c r="G38" s="24"/>
      <c r="H38" s="15"/>
      <c r="I38" s="15"/>
      <c r="J38" s="15"/>
      <c r="K38" s="15"/>
    </row>
    <row r="39" spans="1:11" ht="12" customHeight="1" x14ac:dyDescent="0.2">
      <c r="A39" s="19" t="s">
        <v>55</v>
      </c>
      <c r="B39" s="15"/>
      <c r="C39" s="15"/>
      <c r="D39" s="15"/>
      <c r="E39" s="15"/>
      <c r="F39" s="15"/>
      <c r="G39" s="24"/>
      <c r="H39" s="15"/>
      <c r="I39" s="15"/>
      <c r="J39" s="15"/>
      <c r="K39" s="15"/>
    </row>
    <row r="40" spans="1:11" ht="12" customHeight="1" x14ac:dyDescent="0.2"/>
    <row r="41" spans="1:11" ht="12" customHeight="1" x14ac:dyDescent="0.2"/>
    <row r="42" spans="1:11" ht="12" customHeight="1" x14ac:dyDescent="0.2"/>
    <row r="43" spans="1:11" ht="12" customHeight="1" x14ac:dyDescent="0.2"/>
    <row r="44" spans="1:11" ht="12" customHeight="1" x14ac:dyDescent="0.2"/>
    <row r="45" spans="1:11" ht="12" customHeight="1" x14ac:dyDescent="0.2"/>
    <row r="46" spans="1:11" ht="12" customHeight="1" x14ac:dyDescent="0.2"/>
    <row r="47" spans="1:11" ht="12" customHeight="1" x14ac:dyDescent="0.2"/>
    <row r="48" spans="1:11" ht="11.25" x14ac:dyDescent="0.2"/>
    <row r="49" s="2" customFormat="1" ht="11.25" x14ac:dyDescent="0.2"/>
    <row r="50" s="2" customFormat="1" ht="11.25" x14ac:dyDescent="0.2"/>
    <row r="51" ht="11.25" x14ac:dyDescent="0.2"/>
    <row r="52" ht="11.25" x14ac:dyDescent="0.2"/>
    <row r="53" ht="11.25" x14ac:dyDescent="0.2"/>
    <row r="54" ht="11.25" x14ac:dyDescent="0.2"/>
    <row r="55" ht="11.25" x14ac:dyDescent="0.2"/>
    <row r="56" ht="11.25" x14ac:dyDescent="0.2"/>
    <row r="57" ht="11.25" x14ac:dyDescent="0.2"/>
    <row r="58" ht="11.25" x14ac:dyDescent="0.2"/>
    <row r="59" ht="11.25" x14ac:dyDescent="0.2"/>
    <row r="60" ht="11.25" x14ac:dyDescent="0.2"/>
    <row r="61" ht="11.25" x14ac:dyDescent="0.2"/>
    <row r="62" ht="11.25" x14ac:dyDescent="0.2"/>
    <row r="63" ht="11.25" x14ac:dyDescent="0.2"/>
    <row r="67" spans="1:1" ht="12.75" customHeight="1" x14ac:dyDescent="0.2">
      <c r="A67" s="2"/>
    </row>
  </sheetData>
  <mergeCells count="4">
    <mergeCell ref="A6:A8"/>
    <mergeCell ref="B6:B8"/>
    <mergeCell ref="C7:C8"/>
    <mergeCell ref="I7:I8"/>
  </mergeCells>
  <phoneticPr fontId="0" type="noConversion"/>
  <pageMargins left="0.59055118110236227" right="0.59055118110236227" top="0.59055118110236227" bottom="0.59055118110236227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9"/>
  <dimension ref="A1:K67"/>
  <sheetViews>
    <sheetView workbookViewId="0">
      <selection activeCell="M1" sqref="M1:N65536"/>
    </sheetView>
  </sheetViews>
  <sheetFormatPr baseColWidth="10" defaultColWidth="9.83203125" defaultRowHeight="12.75" customHeight="1" x14ac:dyDescent="0.2"/>
  <cols>
    <col min="1" max="1" width="20.83203125" customWidth="1"/>
    <col min="2" max="3" width="9.6640625" customWidth="1"/>
    <col min="4" max="8" width="9" customWidth="1"/>
    <col min="9" max="9" width="9.6640625" customWidth="1"/>
    <col min="10" max="10" width="9.5" customWidth="1"/>
    <col min="11" max="11" width="10" customWidth="1"/>
  </cols>
  <sheetData>
    <row r="1" spans="1:11" ht="12.75" customHeight="1" x14ac:dyDescent="0.2">
      <c r="A1" s="3" t="s">
        <v>52</v>
      </c>
      <c r="B1" s="3"/>
      <c r="C1" s="3"/>
      <c r="D1" s="3"/>
      <c r="E1" s="3"/>
      <c r="F1" s="3"/>
      <c r="G1" s="3"/>
      <c r="H1" s="1"/>
      <c r="I1" s="1"/>
      <c r="J1" s="1"/>
      <c r="K1" s="1"/>
    </row>
    <row r="3" spans="1:11" ht="12" customHeight="1" x14ac:dyDescent="0.2">
      <c r="A3" s="25" t="s">
        <v>59</v>
      </c>
      <c r="B3" s="26"/>
      <c r="C3" s="26"/>
      <c r="D3" s="26"/>
      <c r="E3" s="26"/>
      <c r="F3" s="26"/>
      <c r="G3" s="26"/>
      <c r="H3" s="26"/>
      <c r="I3" s="26"/>
      <c r="J3" s="26"/>
      <c r="K3" s="26"/>
    </row>
    <row r="4" spans="1:11" ht="12" customHeight="1" x14ac:dyDescent="0.2">
      <c r="A4" s="25" t="s">
        <v>0</v>
      </c>
      <c r="B4" s="26"/>
      <c r="C4" s="26"/>
      <c r="D4" s="26"/>
      <c r="E4" s="26"/>
      <c r="F4" s="26"/>
      <c r="G4" s="26"/>
      <c r="H4" s="26"/>
      <c r="I4" s="26"/>
      <c r="J4" s="26"/>
      <c r="K4" s="26"/>
    </row>
    <row r="5" spans="1:11" ht="12" customHeight="1" x14ac:dyDescent="0.2">
      <c r="A5" s="4"/>
      <c r="B5" s="5"/>
      <c r="C5" s="5"/>
      <c r="D5" s="5"/>
      <c r="E5" s="5"/>
      <c r="F5" s="5"/>
      <c r="G5" s="5"/>
      <c r="H5" s="5"/>
      <c r="I5" s="5"/>
      <c r="J5" s="5"/>
      <c r="K5" s="5"/>
    </row>
    <row r="6" spans="1:11" ht="12" customHeight="1" x14ac:dyDescent="0.2">
      <c r="A6" s="189" t="s">
        <v>2</v>
      </c>
      <c r="B6" s="190" t="s">
        <v>86</v>
      </c>
      <c r="C6" s="6" t="s">
        <v>1</v>
      </c>
      <c r="D6" s="6"/>
      <c r="E6" s="6"/>
      <c r="F6" s="6"/>
      <c r="G6" s="6"/>
      <c r="H6" s="6"/>
      <c r="I6" s="6"/>
      <c r="J6" s="6"/>
      <c r="K6" s="6"/>
    </row>
    <row r="7" spans="1:11" ht="12" customHeight="1" x14ac:dyDescent="0.2">
      <c r="A7" s="187"/>
      <c r="B7" s="176"/>
      <c r="C7" s="191" t="s">
        <v>3</v>
      </c>
      <c r="D7" s="6" t="s">
        <v>4</v>
      </c>
      <c r="E7" s="6"/>
      <c r="F7" s="6"/>
      <c r="G7" s="6"/>
      <c r="H7" s="7" t="s">
        <v>5</v>
      </c>
      <c r="I7" s="191" t="s">
        <v>6</v>
      </c>
      <c r="J7" s="8" t="s">
        <v>7</v>
      </c>
      <c r="K7" s="6"/>
    </row>
    <row r="8" spans="1:11" ht="12" customHeight="1" x14ac:dyDescent="0.2">
      <c r="A8" s="188"/>
      <c r="B8" s="177"/>
      <c r="C8" s="179"/>
      <c r="D8" s="85">
        <v>1</v>
      </c>
      <c r="E8" s="86">
        <v>2</v>
      </c>
      <c r="F8" s="11">
        <v>3</v>
      </c>
      <c r="G8" s="12" t="s">
        <v>8</v>
      </c>
      <c r="H8" s="13" t="s">
        <v>9</v>
      </c>
      <c r="I8" s="179"/>
      <c r="J8" s="10" t="s">
        <v>10</v>
      </c>
      <c r="K8" s="14" t="s">
        <v>11</v>
      </c>
    </row>
    <row r="9" spans="1:11" ht="12" customHeight="1" x14ac:dyDescent="0.2">
      <c r="A9" s="9"/>
      <c r="B9" s="15"/>
      <c r="C9" s="15"/>
      <c r="D9" s="15"/>
      <c r="E9" s="15"/>
      <c r="F9" s="15"/>
      <c r="G9" s="15"/>
      <c r="H9" s="15"/>
      <c r="I9" s="15"/>
      <c r="J9" s="15"/>
      <c r="K9" s="15"/>
    </row>
    <row r="10" spans="1:11" ht="12" customHeight="1" x14ac:dyDescent="0.2">
      <c r="A10" s="20" t="s">
        <v>12</v>
      </c>
      <c r="B10" s="16">
        <v>13435</v>
      </c>
      <c r="C10" s="16">
        <f>SUM(D10:G10)</f>
        <v>1567</v>
      </c>
      <c r="D10" s="16">
        <v>885</v>
      </c>
      <c r="E10" s="16">
        <v>503</v>
      </c>
      <c r="F10" s="16">
        <v>126</v>
      </c>
      <c r="G10" s="16">
        <v>53</v>
      </c>
      <c r="H10" s="17">
        <v>1.5947670708359925</v>
      </c>
      <c r="I10" s="16">
        <v>1177</v>
      </c>
      <c r="J10" s="16">
        <v>368</v>
      </c>
      <c r="K10" s="21">
        <f t="shared" ref="K10:K15" si="0">+J10/C10*100</f>
        <v>23.484365028717296</v>
      </c>
    </row>
    <row r="11" spans="1:11" ht="12" customHeight="1" x14ac:dyDescent="0.2">
      <c r="A11" s="20" t="s">
        <v>13</v>
      </c>
      <c r="B11" s="16">
        <v>13019</v>
      </c>
      <c r="C11" s="16">
        <f>SUM(D11:G11)</f>
        <v>2243</v>
      </c>
      <c r="D11" s="16">
        <v>1175</v>
      </c>
      <c r="E11" s="16">
        <v>765</v>
      </c>
      <c r="F11" s="16">
        <v>235</v>
      </c>
      <c r="G11" s="16">
        <v>68</v>
      </c>
      <c r="H11" s="17">
        <v>1.6553722692822113</v>
      </c>
      <c r="I11" s="16">
        <v>1743</v>
      </c>
      <c r="J11" s="16">
        <v>452</v>
      </c>
      <c r="K11" s="21">
        <f t="shared" si="0"/>
        <v>20.151582701738743</v>
      </c>
    </row>
    <row r="12" spans="1:11" ht="12" customHeight="1" x14ac:dyDescent="0.2">
      <c r="A12" s="20" t="s">
        <v>14</v>
      </c>
      <c r="B12" s="16">
        <v>25260</v>
      </c>
      <c r="C12" s="16">
        <f>SUM(D12:G12)</f>
        <v>4549</v>
      </c>
      <c r="D12" s="16">
        <v>2482</v>
      </c>
      <c r="E12" s="16">
        <v>1577</v>
      </c>
      <c r="F12" s="16">
        <v>382</v>
      </c>
      <c r="G12" s="16">
        <v>108</v>
      </c>
      <c r="H12" s="17">
        <v>1.5915585843042428</v>
      </c>
      <c r="I12" s="16">
        <v>3380</v>
      </c>
      <c r="J12" s="16">
        <v>1085</v>
      </c>
      <c r="K12" s="21">
        <f t="shared" si="0"/>
        <v>23.851395911189272</v>
      </c>
    </row>
    <row r="13" spans="1:11" ht="12" customHeight="1" x14ac:dyDescent="0.2">
      <c r="A13" s="20" t="s">
        <v>15</v>
      </c>
      <c r="B13" s="16">
        <v>23617</v>
      </c>
      <c r="C13" s="16">
        <f>SUM(D13:G13)</f>
        <v>3624</v>
      </c>
      <c r="D13" s="16">
        <v>1918</v>
      </c>
      <c r="E13" s="16">
        <v>1233</v>
      </c>
      <c r="F13" s="16">
        <v>363</v>
      </c>
      <c r="G13" s="16">
        <v>110</v>
      </c>
      <c r="H13" s="17">
        <v>1.6423841059602649</v>
      </c>
      <c r="I13" s="16">
        <v>2776</v>
      </c>
      <c r="J13" s="16">
        <v>773</v>
      </c>
      <c r="K13" s="21">
        <f t="shared" si="0"/>
        <v>21.33002207505519</v>
      </c>
    </row>
    <row r="14" spans="1:11" ht="12" customHeight="1" x14ac:dyDescent="0.2">
      <c r="A14" s="20" t="s">
        <v>16</v>
      </c>
      <c r="B14" s="16">
        <v>28819</v>
      </c>
      <c r="C14" s="16">
        <f>SUM(D14:G14)</f>
        <v>4012</v>
      </c>
      <c r="D14" s="16">
        <v>2274</v>
      </c>
      <c r="E14" s="16">
        <v>1324</v>
      </c>
      <c r="F14" s="16">
        <v>336</v>
      </c>
      <c r="G14" s="16">
        <v>78</v>
      </c>
      <c r="H14" s="17">
        <v>1.560568295114656</v>
      </c>
      <c r="I14" s="16">
        <v>3034</v>
      </c>
      <c r="J14" s="16">
        <v>915</v>
      </c>
      <c r="K14" s="21">
        <f t="shared" si="0"/>
        <v>22.806580259222333</v>
      </c>
    </row>
    <row r="15" spans="1:11" ht="12" customHeight="1" x14ac:dyDescent="0.2">
      <c r="A15" s="22" t="s">
        <v>17</v>
      </c>
      <c r="B15" s="16">
        <f t="shared" ref="B15:G15" si="1">SUM(B10:B14)</f>
        <v>104150</v>
      </c>
      <c r="C15" s="16">
        <f t="shared" si="1"/>
        <v>15995</v>
      </c>
      <c r="D15" s="16">
        <f t="shared" si="1"/>
        <v>8734</v>
      </c>
      <c r="E15" s="16">
        <f t="shared" si="1"/>
        <v>5402</v>
      </c>
      <c r="F15" s="16">
        <f t="shared" si="1"/>
        <v>1442</v>
      </c>
      <c r="G15" s="16">
        <f t="shared" si="1"/>
        <v>417</v>
      </c>
      <c r="H15" s="17">
        <v>1.604563926226946</v>
      </c>
      <c r="I15" s="16">
        <f>SUM(I10:I14)</f>
        <v>12110</v>
      </c>
      <c r="J15" s="16">
        <f>SUM(J10:J14)</f>
        <v>3593</v>
      </c>
      <c r="K15" s="21">
        <f t="shared" si="0"/>
        <v>22.463269771803692</v>
      </c>
    </row>
    <row r="16" spans="1:11" ht="12" customHeight="1" x14ac:dyDescent="0.2">
      <c r="A16" s="9"/>
      <c r="B16" s="16"/>
      <c r="C16" s="16"/>
      <c r="D16" s="16"/>
      <c r="E16" s="16"/>
      <c r="F16" s="16"/>
      <c r="G16" s="16"/>
      <c r="H16" s="17"/>
      <c r="I16" s="16"/>
      <c r="J16" s="16"/>
      <c r="K16" s="21"/>
    </row>
    <row r="17" spans="1:11" ht="12" customHeight="1" x14ac:dyDescent="0.2">
      <c r="A17" s="20" t="s">
        <v>18</v>
      </c>
      <c r="B17" s="16">
        <v>31993</v>
      </c>
      <c r="C17" s="16">
        <f t="shared" ref="C17:C35" si="2">SUM(D17:G17)</f>
        <v>6888</v>
      </c>
      <c r="D17" s="16">
        <v>3479</v>
      </c>
      <c r="E17" s="16">
        <v>2453</v>
      </c>
      <c r="F17" s="16">
        <v>754</v>
      </c>
      <c r="G17" s="16">
        <v>202</v>
      </c>
      <c r="H17" s="81">
        <v>1.6730545876887339</v>
      </c>
      <c r="I17" s="16">
        <v>5457</v>
      </c>
      <c r="J17" s="16">
        <v>1269</v>
      </c>
      <c r="K17" s="21">
        <f t="shared" ref="K17:K35" si="3">+J17/C17*100</f>
        <v>18.423344947735192</v>
      </c>
    </row>
    <row r="18" spans="1:11" ht="12" customHeight="1" x14ac:dyDescent="0.2">
      <c r="A18" s="20" t="s">
        <v>19</v>
      </c>
      <c r="B18" s="16">
        <v>3107</v>
      </c>
      <c r="C18" s="16">
        <f t="shared" si="2"/>
        <v>564</v>
      </c>
      <c r="D18" s="16">
        <v>272</v>
      </c>
      <c r="E18" s="16">
        <v>210</v>
      </c>
      <c r="F18" s="16">
        <v>66</v>
      </c>
      <c r="G18" s="16">
        <v>16</v>
      </c>
      <c r="H18" s="81">
        <v>1.7092198581560283</v>
      </c>
      <c r="I18" s="16">
        <v>448</v>
      </c>
      <c r="J18" s="16">
        <v>111</v>
      </c>
      <c r="K18" s="21">
        <f t="shared" si="3"/>
        <v>19.680851063829788</v>
      </c>
    </row>
    <row r="19" spans="1:11" ht="12" customHeight="1" x14ac:dyDescent="0.2">
      <c r="A19" s="20" t="s">
        <v>20</v>
      </c>
      <c r="B19" s="16">
        <v>6614</v>
      </c>
      <c r="C19" s="16">
        <f t="shared" si="2"/>
        <v>1199</v>
      </c>
      <c r="D19" s="16">
        <v>577</v>
      </c>
      <c r="E19" s="16">
        <v>448</v>
      </c>
      <c r="F19" s="16">
        <v>128</v>
      </c>
      <c r="G19" s="16">
        <v>46</v>
      </c>
      <c r="H19" s="81">
        <v>1.7122602168473728</v>
      </c>
      <c r="I19" s="16">
        <v>987</v>
      </c>
      <c r="J19" s="16">
        <v>200</v>
      </c>
      <c r="K19" s="21">
        <f t="shared" si="3"/>
        <v>16.680567139282733</v>
      </c>
    </row>
    <row r="20" spans="1:11" ht="12" customHeight="1" x14ac:dyDescent="0.2">
      <c r="A20" s="20" t="s">
        <v>21</v>
      </c>
      <c r="B20" s="16">
        <v>8655</v>
      </c>
      <c r="C20" s="16">
        <f t="shared" si="2"/>
        <v>1576</v>
      </c>
      <c r="D20" s="16">
        <v>795</v>
      </c>
      <c r="E20" s="16">
        <v>600</v>
      </c>
      <c r="F20" s="16">
        <v>145</v>
      </c>
      <c r="G20" s="16">
        <v>36</v>
      </c>
      <c r="H20" s="81">
        <v>1.6389593908629441</v>
      </c>
      <c r="I20" s="16">
        <v>1264</v>
      </c>
      <c r="J20" s="16">
        <v>282</v>
      </c>
      <c r="K20" s="21">
        <f t="shared" si="3"/>
        <v>17.893401015228427</v>
      </c>
    </row>
    <row r="21" spans="1:11" ht="12" customHeight="1" x14ac:dyDescent="0.2">
      <c r="A21" s="20" t="s">
        <v>22</v>
      </c>
      <c r="B21" s="16">
        <v>13809</v>
      </c>
      <c r="C21" s="16">
        <f t="shared" si="2"/>
        <v>2556</v>
      </c>
      <c r="D21" s="16">
        <v>1294</v>
      </c>
      <c r="E21" s="16">
        <v>921</v>
      </c>
      <c r="F21" s="16">
        <v>280</v>
      </c>
      <c r="G21" s="16">
        <v>61</v>
      </c>
      <c r="H21" s="81">
        <v>1.658450704225352</v>
      </c>
      <c r="I21" s="16">
        <v>2051</v>
      </c>
      <c r="J21" s="16">
        <v>457</v>
      </c>
      <c r="K21" s="21">
        <f t="shared" si="3"/>
        <v>17.879499217527385</v>
      </c>
    </row>
    <row r="22" spans="1:11" ht="12" customHeight="1" x14ac:dyDescent="0.2">
      <c r="A22" s="20" t="s">
        <v>23</v>
      </c>
      <c r="B22" s="16">
        <v>4508</v>
      </c>
      <c r="C22" s="16">
        <f t="shared" si="2"/>
        <v>959</v>
      </c>
      <c r="D22" s="16">
        <v>461</v>
      </c>
      <c r="E22" s="16">
        <v>369</v>
      </c>
      <c r="F22" s="16">
        <v>102</v>
      </c>
      <c r="G22" s="16">
        <v>27</v>
      </c>
      <c r="H22" s="81">
        <v>1.6882168925964547</v>
      </c>
      <c r="I22" s="16">
        <v>771</v>
      </c>
      <c r="J22" s="16">
        <v>172</v>
      </c>
      <c r="K22" s="21">
        <f t="shared" si="3"/>
        <v>17.935349322210637</v>
      </c>
    </row>
    <row r="23" spans="1:11" ht="12" customHeight="1" x14ac:dyDescent="0.2">
      <c r="A23" s="20" t="s">
        <v>24</v>
      </c>
      <c r="B23" s="16">
        <v>14689</v>
      </c>
      <c r="C23" s="16">
        <f t="shared" si="2"/>
        <v>2752</v>
      </c>
      <c r="D23" s="16">
        <v>1303</v>
      </c>
      <c r="E23" s="16">
        <v>1094</v>
      </c>
      <c r="F23" s="16">
        <v>278</v>
      </c>
      <c r="G23" s="16">
        <v>77</v>
      </c>
      <c r="H23" s="81">
        <v>1.6907703488372092</v>
      </c>
      <c r="I23" s="16">
        <v>2211</v>
      </c>
      <c r="J23" s="16">
        <v>492</v>
      </c>
      <c r="K23" s="21">
        <f t="shared" si="3"/>
        <v>17.877906976744189</v>
      </c>
    </row>
    <row r="24" spans="1:11" ht="12" customHeight="1" x14ac:dyDescent="0.2">
      <c r="A24" s="20" t="s">
        <v>25</v>
      </c>
      <c r="B24" s="16">
        <v>11555</v>
      </c>
      <c r="C24" s="16">
        <f t="shared" si="2"/>
        <v>2752</v>
      </c>
      <c r="D24" s="16">
        <v>1299</v>
      </c>
      <c r="E24" s="16">
        <v>1039</v>
      </c>
      <c r="F24" s="16">
        <v>318</v>
      </c>
      <c r="G24" s="16">
        <v>96</v>
      </c>
      <c r="H24" s="81">
        <v>1.7234738372093024</v>
      </c>
      <c r="I24" s="16">
        <v>2223</v>
      </c>
      <c r="J24" s="16">
        <v>482</v>
      </c>
      <c r="K24" s="21">
        <f t="shared" si="3"/>
        <v>17.51453488372093</v>
      </c>
    </row>
    <row r="25" spans="1:11" ht="12" customHeight="1" x14ac:dyDescent="0.2">
      <c r="A25" s="20" t="s">
        <v>26</v>
      </c>
      <c r="B25" s="16">
        <v>3172</v>
      </c>
      <c r="C25" s="16">
        <f t="shared" si="2"/>
        <v>607</v>
      </c>
      <c r="D25" s="16">
        <v>321</v>
      </c>
      <c r="E25" s="16">
        <v>225</v>
      </c>
      <c r="F25" s="16">
        <v>50</v>
      </c>
      <c r="G25" s="16">
        <v>11</v>
      </c>
      <c r="H25" s="81">
        <v>1.5914332784184515</v>
      </c>
      <c r="I25" s="16">
        <v>481</v>
      </c>
      <c r="J25" s="16">
        <v>109</v>
      </c>
      <c r="K25" s="21">
        <f t="shared" si="3"/>
        <v>17.957166392092258</v>
      </c>
    </row>
    <row r="26" spans="1:11" ht="12" customHeight="1" x14ac:dyDescent="0.2">
      <c r="A26" s="20" t="s">
        <v>27</v>
      </c>
      <c r="B26" s="16">
        <v>3827</v>
      </c>
      <c r="C26" s="16">
        <f t="shared" si="2"/>
        <v>796</v>
      </c>
      <c r="D26" s="16">
        <v>368</v>
      </c>
      <c r="E26" s="16">
        <v>340</v>
      </c>
      <c r="F26" s="16">
        <v>71</v>
      </c>
      <c r="G26" s="16">
        <v>17</v>
      </c>
      <c r="H26" s="81">
        <v>1.6733668341708543</v>
      </c>
      <c r="I26" s="16">
        <v>645</v>
      </c>
      <c r="J26" s="16">
        <v>135</v>
      </c>
      <c r="K26" s="21">
        <f t="shared" si="3"/>
        <v>16.959798994974875</v>
      </c>
    </row>
    <row r="27" spans="1:11" ht="12" customHeight="1" x14ac:dyDescent="0.2">
      <c r="A27" s="20" t="s">
        <v>28</v>
      </c>
      <c r="B27" s="16">
        <v>6531</v>
      </c>
      <c r="C27" s="16">
        <f t="shared" si="2"/>
        <v>1155</v>
      </c>
      <c r="D27" s="16">
        <v>564</v>
      </c>
      <c r="E27" s="16">
        <v>451</v>
      </c>
      <c r="F27" s="16">
        <v>106</v>
      </c>
      <c r="G27" s="16">
        <v>34</v>
      </c>
      <c r="H27" s="81">
        <v>1.670995670995671</v>
      </c>
      <c r="I27" s="16">
        <v>919</v>
      </c>
      <c r="J27" s="16">
        <v>212</v>
      </c>
      <c r="K27" s="21">
        <f t="shared" si="3"/>
        <v>18.354978354978353</v>
      </c>
    </row>
    <row r="28" spans="1:11" ht="12" customHeight="1" x14ac:dyDescent="0.2">
      <c r="A28" s="20" t="s">
        <v>29</v>
      </c>
      <c r="B28" s="16">
        <v>11178</v>
      </c>
      <c r="C28" s="16">
        <f t="shared" si="2"/>
        <v>2274</v>
      </c>
      <c r="D28" s="16">
        <v>1056</v>
      </c>
      <c r="E28" s="16">
        <v>869</v>
      </c>
      <c r="F28" s="16">
        <v>274</v>
      </c>
      <c r="G28" s="16">
        <v>75</v>
      </c>
      <c r="H28" s="81">
        <v>1.7321899736147757</v>
      </c>
      <c r="I28" s="16">
        <v>1806</v>
      </c>
      <c r="J28" s="16">
        <v>427</v>
      </c>
      <c r="K28" s="21">
        <f t="shared" si="3"/>
        <v>18.777484608619176</v>
      </c>
    </row>
    <row r="29" spans="1:11" ht="12" customHeight="1" x14ac:dyDescent="0.2">
      <c r="A29" s="20" t="s">
        <v>30</v>
      </c>
      <c r="B29" s="16">
        <v>5401</v>
      </c>
      <c r="C29" s="16">
        <f t="shared" si="2"/>
        <v>1440</v>
      </c>
      <c r="D29" s="16">
        <v>685</v>
      </c>
      <c r="E29" s="16">
        <v>551</v>
      </c>
      <c r="F29" s="16">
        <v>154</v>
      </c>
      <c r="G29" s="16">
        <v>50</v>
      </c>
      <c r="H29" s="81">
        <v>1.7138888888888888</v>
      </c>
      <c r="I29" s="16">
        <v>1188</v>
      </c>
      <c r="J29" s="16">
        <v>228</v>
      </c>
      <c r="K29" s="21">
        <f t="shared" si="3"/>
        <v>15.833333333333332</v>
      </c>
    </row>
    <row r="30" spans="1:11" ht="12" customHeight="1" x14ac:dyDescent="0.2">
      <c r="A30" s="20" t="s">
        <v>31</v>
      </c>
      <c r="B30" s="16">
        <v>7780</v>
      </c>
      <c r="C30" s="16">
        <f t="shared" si="2"/>
        <v>1592</v>
      </c>
      <c r="D30" s="16">
        <v>826</v>
      </c>
      <c r="E30" s="16">
        <v>590</v>
      </c>
      <c r="F30" s="16">
        <v>141</v>
      </c>
      <c r="G30" s="16">
        <v>35</v>
      </c>
      <c r="H30" s="81">
        <v>1.6168341708542713</v>
      </c>
      <c r="I30" s="16">
        <v>1285</v>
      </c>
      <c r="J30" s="16">
        <v>279</v>
      </c>
      <c r="K30" s="21">
        <f t="shared" si="3"/>
        <v>17.525125628140703</v>
      </c>
    </row>
    <row r="31" spans="1:11" ht="12" customHeight="1" x14ac:dyDescent="0.2">
      <c r="A31" s="20" t="s">
        <v>32</v>
      </c>
      <c r="B31" s="16">
        <v>21775</v>
      </c>
      <c r="C31" s="16">
        <f t="shared" si="2"/>
        <v>3740</v>
      </c>
      <c r="D31" s="16">
        <v>1873</v>
      </c>
      <c r="E31" s="16">
        <v>1395</v>
      </c>
      <c r="F31" s="16">
        <v>362</v>
      </c>
      <c r="G31" s="16">
        <v>110</v>
      </c>
      <c r="H31" s="81">
        <v>1.6647058823529413</v>
      </c>
      <c r="I31" s="16">
        <v>2990</v>
      </c>
      <c r="J31" s="16">
        <v>685</v>
      </c>
      <c r="K31" s="21">
        <f t="shared" si="3"/>
        <v>18.315508021390375</v>
      </c>
    </row>
    <row r="32" spans="1:11" ht="12" customHeight="1" x14ac:dyDescent="0.2">
      <c r="A32" s="20" t="s">
        <v>33</v>
      </c>
      <c r="B32" s="16">
        <v>4445</v>
      </c>
      <c r="C32" s="16">
        <f t="shared" si="2"/>
        <v>833</v>
      </c>
      <c r="D32" s="16">
        <v>457</v>
      </c>
      <c r="E32" s="16">
        <v>299</v>
      </c>
      <c r="F32" s="16">
        <v>62</v>
      </c>
      <c r="G32" s="16">
        <v>15</v>
      </c>
      <c r="H32" s="81">
        <v>1.575030012004802</v>
      </c>
      <c r="I32" s="16">
        <v>662</v>
      </c>
      <c r="J32" s="16">
        <v>155</v>
      </c>
      <c r="K32" s="21">
        <f t="shared" si="3"/>
        <v>18.607442977190878</v>
      </c>
    </row>
    <row r="33" spans="1:11" ht="12" customHeight="1" x14ac:dyDescent="0.2">
      <c r="A33" s="20" t="s">
        <v>34</v>
      </c>
      <c r="B33" s="16">
        <v>13676</v>
      </c>
      <c r="C33" s="16">
        <f t="shared" si="2"/>
        <v>3178</v>
      </c>
      <c r="D33" s="16">
        <v>1419</v>
      </c>
      <c r="E33" s="16">
        <v>1310</v>
      </c>
      <c r="F33" s="16">
        <v>359</v>
      </c>
      <c r="G33" s="16">
        <v>90</v>
      </c>
      <c r="H33" s="81">
        <v>1.7278162366268093</v>
      </c>
      <c r="I33" s="16">
        <v>2650</v>
      </c>
      <c r="J33" s="16">
        <v>485</v>
      </c>
      <c r="K33" s="21">
        <f t="shared" si="3"/>
        <v>15.26117054751416</v>
      </c>
    </row>
    <row r="34" spans="1:11" ht="12" customHeight="1" x14ac:dyDescent="0.2">
      <c r="A34" s="20" t="s">
        <v>35</v>
      </c>
      <c r="B34" s="16">
        <v>16557</v>
      </c>
      <c r="C34" s="16">
        <f t="shared" si="2"/>
        <v>3480</v>
      </c>
      <c r="D34" s="16">
        <v>1806</v>
      </c>
      <c r="E34" s="16">
        <v>1240</v>
      </c>
      <c r="F34" s="16">
        <v>339</v>
      </c>
      <c r="G34" s="16">
        <v>95</v>
      </c>
      <c r="H34" s="81">
        <v>1.6422413793103448</v>
      </c>
      <c r="I34" s="16">
        <v>2741</v>
      </c>
      <c r="J34" s="16">
        <v>673</v>
      </c>
      <c r="K34" s="21">
        <f t="shared" si="3"/>
        <v>19.339080459770113</v>
      </c>
    </row>
    <row r="35" spans="1:11" ht="12" customHeight="1" x14ac:dyDescent="0.2">
      <c r="A35" s="22" t="s">
        <v>36</v>
      </c>
      <c r="B35" s="16">
        <f>SUM(B17:B34)</f>
        <v>189272</v>
      </c>
      <c r="C35" s="16">
        <f t="shared" si="2"/>
        <v>38341</v>
      </c>
      <c r="D35" s="16">
        <f>SUM(D17:D34)</f>
        <v>18855</v>
      </c>
      <c r="E35" s="16">
        <f>SUM(E17:E34)</f>
        <v>14404</v>
      </c>
      <c r="F35" s="16">
        <f>SUM(F17:F34)</f>
        <v>3989</v>
      </c>
      <c r="G35" s="16">
        <f>SUM(G17:G34)</f>
        <v>1093</v>
      </c>
      <c r="H35" s="17">
        <v>1.6778644271145771</v>
      </c>
      <c r="I35" s="16">
        <f>SUM(I17:I34)</f>
        <v>30779</v>
      </c>
      <c r="J35" s="16">
        <f>SUM(J17:J34)</f>
        <v>6853</v>
      </c>
      <c r="K35" s="21">
        <f t="shared" si="3"/>
        <v>17.87381654103962</v>
      </c>
    </row>
    <row r="36" spans="1:11" ht="12" customHeight="1" x14ac:dyDescent="0.2">
      <c r="A36" s="9"/>
      <c r="B36" s="16"/>
      <c r="C36" s="16"/>
      <c r="D36" s="16"/>
      <c r="E36" s="16"/>
      <c r="F36" s="16"/>
      <c r="G36" s="16"/>
      <c r="H36" s="17"/>
      <c r="I36" s="16"/>
      <c r="J36" s="16"/>
      <c r="K36" s="21"/>
    </row>
    <row r="37" spans="1:11" ht="12" customHeight="1" x14ac:dyDescent="0.2">
      <c r="A37" s="22" t="s">
        <v>37</v>
      </c>
      <c r="B37" s="16">
        <f>B15+B35</f>
        <v>293422</v>
      </c>
      <c r="C37" s="16">
        <f>SUM(D37:G37)</f>
        <v>54336</v>
      </c>
      <c r="D37" s="16">
        <f>D15+D35</f>
        <v>27589</v>
      </c>
      <c r="E37" s="16">
        <f>E15+E35</f>
        <v>19806</v>
      </c>
      <c r="F37" s="16">
        <f>F15+F35</f>
        <v>5431</v>
      </c>
      <c r="G37" s="16">
        <f>G15+G35</f>
        <v>1510</v>
      </c>
      <c r="H37" s="17">
        <v>1.6562868080094229</v>
      </c>
      <c r="I37" s="16">
        <f>I15+I35</f>
        <v>42889</v>
      </c>
      <c r="J37" s="16">
        <f>J15+J35</f>
        <v>10446</v>
      </c>
      <c r="K37" s="21">
        <f>+J37/C37*100</f>
        <v>19.224823321554769</v>
      </c>
    </row>
    <row r="38" spans="1:11" ht="12" customHeight="1" x14ac:dyDescent="0.2">
      <c r="A38" s="23" t="s">
        <v>38</v>
      </c>
      <c r="B38" s="18"/>
      <c r="C38" s="15"/>
      <c r="D38" s="15"/>
      <c r="E38" s="15"/>
      <c r="F38" s="15"/>
      <c r="G38" s="24"/>
      <c r="H38" s="15"/>
      <c r="I38" s="15"/>
      <c r="J38" s="15"/>
      <c r="K38" s="15"/>
    </row>
    <row r="39" spans="1:11" ht="12" customHeight="1" x14ac:dyDescent="0.2">
      <c r="A39" s="19" t="s">
        <v>55</v>
      </c>
      <c r="B39" s="15"/>
      <c r="C39" s="15"/>
      <c r="D39" s="15"/>
      <c r="E39" s="15"/>
      <c r="F39" s="15"/>
      <c r="G39" s="24"/>
      <c r="H39" s="15"/>
      <c r="I39" s="15"/>
      <c r="J39" s="15"/>
      <c r="K39" s="15"/>
    </row>
    <row r="40" spans="1:11" ht="12" customHeight="1" x14ac:dyDescent="0.2"/>
    <row r="41" spans="1:11" ht="12" customHeight="1" x14ac:dyDescent="0.2"/>
    <row r="42" spans="1:11" ht="12" customHeight="1" x14ac:dyDescent="0.2"/>
    <row r="43" spans="1:11" ht="12" customHeight="1" x14ac:dyDescent="0.2"/>
    <row r="44" spans="1:11" ht="12" customHeight="1" x14ac:dyDescent="0.2"/>
    <row r="45" spans="1:11" ht="12" customHeight="1" x14ac:dyDescent="0.2"/>
    <row r="46" spans="1:11" ht="12" customHeight="1" x14ac:dyDescent="0.2"/>
    <row r="47" spans="1:11" ht="12" customHeight="1" x14ac:dyDescent="0.2"/>
    <row r="48" spans="1:11" ht="11.25" x14ac:dyDescent="0.2"/>
    <row r="49" s="2" customFormat="1" ht="11.25" x14ac:dyDescent="0.2"/>
    <row r="50" s="2" customFormat="1" ht="11.25" x14ac:dyDescent="0.2"/>
    <row r="51" ht="11.25" x14ac:dyDescent="0.2"/>
    <row r="52" ht="11.25" x14ac:dyDescent="0.2"/>
    <row r="53" ht="11.25" x14ac:dyDescent="0.2"/>
    <row r="54" ht="11.25" x14ac:dyDescent="0.2"/>
    <row r="55" ht="11.25" x14ac:dyDescent="0.2"/>
    <row r="56" ht="11.25" x14ac:dyDescent="0.2"/>
    <row r="57" ht="11.25" x14ac:dyDescent="0.2"/>
    <row r="58" ht="11.25" x14ac:dyDescent="0.2"/>
    <row r="59" ht="11.25" x14ac:dyDescent="0.2"/>
    <row r="60" ht="11.25" x14ac:dyDescent="0.2"/>
    <row r="61" ht="11.25" x14ac:dyDescent="0.2"/>
    <row r="62" ht="11.25" x14ac:dyDescent="0.2"/>
    <row r="63" ht="11.25" x14ac:dyDescent="0.2"/>
    <row r="67" spans="1:1" ht="12.75" customHeight="1" x14ac:dyDescent="0.2">
      <c r="A67" s="2"/>
    </row>
  </sheetData>
  <mergeCells count="4">
    <mergeCell ref="A6:A8"/>
    <mergeCell ref="B6:B8"/>
    <mergeCell ref="C7:C8"/>
    <mergeCell ref="I7:I8"/>
  </mergeCells>
  <phoneticPr fontId="0" type="noConversion"/>
  <pageMargins left="0.59055118110236227" right="0.59055118110236227" top="0.59055118110236227" bottom="0.59055118110236227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0"/>
  <dimension ref="A1:K67"/>
  <sheetViews>
    <sheetView workbookViewId="0">
      <selection activeCell="M1" sqref="M1:N65536"/>
    </sheetView>
  </sheetViews>
  <sheetFormatPr baseColWidth="10" defaultColWidth="9.83203125" defaultRowHeight="12.75" customHeight="1" x14ac:dyDescent="0.2"/>
  <cols>
    <col min="1" max="1" width="20.83203125" customWidth="1"/>
    <col min="2" max="4" width="9.6640625" customWidth="1"/>
    <col min="5" max="6" width="9" customWidth="1"/>
    <col min="7" max="7" width="8" customWidth="1"/>
    <col min="8" max="8" width="9" customWidth="1"/>
    <col min="9" max="10" width="9.6640625" customWidth="1"/>
    <col min="11" max="11" width="10" customWidth="1"/>
  </cols>
  <sheetData>
    <row r="1" spans="1:11" ht="12.75" customHeight="1" x14ac:dyDescent="0.2">
      <c r="A1" s="3" t="s">
        <v>52</v>
      </c>
      <c r="B1" s="3"/>
      <c r="C1" s="3"/>
      <c r="D1" s="3"/>
      <c r="E1" s="3"/>
      <c r="F1" s="3"/>
      <c r="G1" s="3"/>
      <c r="H1" s="1"/>
      <c r="I1" s="1"/>
      <c r="J1" s="1"/>
      <c r="K1" s="1"/>
    </row>
    <row r="3" spans="1:11" ht="12" customHeight="1" x14ac:dyDescent="0.2">
      <c r="A3" s="25" t="s">
        <v>60</v>
      </c>
      <c r="B3" s="26"/>
      <c r="C3" s="26"/>
      <c r="D3" s="26"/>
      <c r="E3" s="26"/>
      <c r="F3" s="26"/>
      <c r="G3" s="26"/>
      <c r="H3" s="26"/>
      <c r="I3" s="26"/>
      <c r="J3" s="26"/>
      <c r="K3" s="26"/>
    </row>
    <row r="4" spans="1:11" ht="12" customHeight="1" x14ac:dyDescent="0.2">
      <c r="A4" s="25" t="s">
        <v>0</v>
      </c>
      <c r="B4" s="26"/>
      <c r="C4" s="26"/>
      <c r="D4" s="26"/>
      <c r="E4" s="26"/>
      <c r="F4" s="26"/>
      <c r="G4" s="26"/>
      <c r="H4" s="26"/>
      <c r="I4" s="26"/>
      <c r="J4" s="26"/>
      <c r="K4" s="26"/>
    </row>
    <row r="5" spans="1:11" ht="12" customHeight="1" x14ac:dyDescent="0.2">
      <c r="A5" s="4"/>
      <c r="B5" s="5"/>
      <c r="C5" s="5"/>
      <c r="D5" s="5"/>
      <c r="E5" s="5"/>
      <c r="F5" s="5"/>
      <c r="G5" s="5"/>
      <c r="H5" s="5"/>
      <c r="I5" s="5"/>
      <c r="J5" s="5"/>
      <c r="K5" s="5"/>
    </row>
    <row r="6" spans="1:11" ht="12" customHeight="1" x14ac:dyDescent="0.2">
      <c r="A6" s="189" t="s">
        <v>2</v>
      </c>
      <c r="B6" s="190" t="s">
        <v>86</v>
      </c>
      <c r="C6" s="6" t="s">
        <v>1</v>
      </c>
      <c r="D6" s="6"/>
      <c r="E6" s="6"/>
      <c r="F6" s="6"/>
      <c r="G6" s="6"/>
      <c r="H6" s="6"/>
      <c r="I6" s="6"/>
      <c r="J6" s="6"/>
      <c r="K6" s="6"/>
    </row>
    <row r="7" spans="1:11" ht="12" customHeight="1" x14ac:dyDescent="0.2">
      <c r="A7" s="187"/>
      <c r="B7" s="176"/>
      <c r="C7" s="191" t="s">
        <v>3</v>
      </c>
      <c r="D7" s="6" t="s">
        <v>4</v>
      </c>
      <c r="E7" s="6"/>
      <c r="F7" s="6"/>
      <c r="G7" s="6"/>
      <c r="H7" s="7" t="s">
        <v>5</v>
      </c>
      <c r="I7" s="191" t="s">
        <v>6</v>
      </c>
      <c r="J7" s="8" t="s">
        <v>7</v>
      </c>
      <c r="K7" s="6"/>
    </row>
    <row r="8" spans="1:11" ht="12" customHeight="1" x14ac:dyDescent="0.2">
      <c r="A8" s="188"/>
      <c r="B8" s="177"/>
      <c r="C8" s="179"/>
      <c r="D8" s="85">
        <v>1</v>
      </c>
      <c r="E8" s="86">
        <v>2</v>
      </c>
      <c r="F8" s="11">
        <v>3</v>
      </c>
      <c r="G8" s="12" t="s">
        <v>8</v>
      </c>
      <c r="H8" s="13" t="s">
        <v>9</v>
      </c>
      <c r="I8" s="179"/>
      <c r="J8" s="10" t="s">
        <v>10</v>
      </c>
      <c r="K8" s="14" t="s">
        <v>11</v>
      </c>
    </row>
    <row r="9" spans="1:11" ht="12" customHeight="1" x14ac:dyDescent="0.2">
      <c r="A9" s="9"/>
      <c r="B9" s="15"/>
      <c r="C9" s="15"/>
      <c r="D9" s="15"/>
      <c r="E9" s="15"/>
      <c r="F9" s="15"/>
      <c r="G9" s="15"/>
      <c r="H9" s="15"/>
      <c r="I9" s="15"/>
      <c r="J9" s="15"/>
      <c r="K9" s="15"/>
    </row>
    <row r="10" spans="1:11" ht="12" customHeight="1" x14ac:dyDescent="0.2">
      <c r="A10" s="20" t="s">
        <v>12</v>
      </c>
      <c r="B10" s="16">
        <v>13506</v>
      </c>
      <c r="C10" s="16">
        <f>SUM(D10:G10)</f>
        <v>1625</v>
      </c>
      <c r="D10" s="16">
        <v>922</v>
      </c>
      <c r="E10" s="16">
        <v>522</v>
      </c>
      <c r="F10" s="16">
        <v>128</v>
      </c>
      <c r="G10" s="16">
        <v>53</v>
      </c>
      <c r="H10" s="17">
        <v>1.5889230769230769</v>
      </c>
      <c r="I10" s="16">
        <v>1249</v>
      </c>
      <c r="J10" s="16">
        <v>376</v>
      </c>
      <c r="K10" s="21">
        <f t="shared" ref="K10:K15" si="0">+J10/C10*100</f>
        <v>23.138461538461538</v>
      </c>
    </row>
    <row r="11" spans="1:11" ht="12" customHeight="1" x14ac:dyDescent="0.2">
      <c r="A11" s="20" t="s">
        <v>13</v>
      </c>
      <c r="B11" s="16">
        <v>13195</v>
      </c>
      <c r="C11" s="16">
        <f>SUM(D11:G11)</f>
        <v>2223</v>
      </c>
      <c r="D11" s="16">
        <v>1184</v>
      </c>
      <c r="E11" s="16">
        <v>734</v>
      </c>
      <c r="F11" s="16">
        <v>233</v>
      </c>
      <c r="G11" s="16">
        <v>72</v>
      </c>
      <c r="H11" s="17">
        <v>1.6504723346828609</v>
      </c>
      <c r="I11" s="16">
        <v>1783</v>
      </c>
      <c r="J11" s="16">
        <v>440</v>
      </c>
      <c r="K11" s="21">
        <f t="shared" si="0"/>
        <v>19.793072424651374</v>
      </c>
    </row>
    <row r="12" spans="1:11" ht="12" customHeight="1" x14ac:dyDescent="0.2">
      <c r="A12" s="20" t="s">
        <v>14</v>
      </c>
      <c r="B12" s="16">
        <v>25607</v>
      </c>
      <c r="C12" s="16">
        <f>SUM(D12:G12)</f>
        <v>4579</v>
      </c>
      <c r="D12" s="16">
        <v>2507</v>
      </c>
      <c r="E12" s="16">
        <v>1577</v>
      </c>
      <c r="F12" s="16">
        <v>395</v>
      </c>
      <c r="G12" s="16">
        <v>100</v>
      </c>
      <c r="H12" s="17">
        <v>1.5896483948460363</v>
      </c>
      <c r="I12" s="16">
        <v>3538</v>
      </c>
      <c r="J12" s="16">
        <v>1041</v>
      </c>
      <c r="K12" s="21">
        <f t="shared" si="0"/>
        <v>22.734221445730508</v>
      </c>
    </row>
    <row r="13" spans="1:11" ht="12" customHeight="1" x14ac:dyDescent="0.2">
      <c r="A13" s="20" t="s">
        <v>15</v>
      </c>
      <c r="B13" s="16">
        <v>23888</v>
      </c>
      <c r="C13" s="16">
        <f>SUM(D13:G13)</f>
        <v>3674</v>
      </c>
      <c r="D13" s="16">
        <v>1967</v>
      </c>
      <c r="E13" s="16">
        <v>1246</v>
      </c>
      <c r="F13" s="16">
        <v>347</v>
      </c>
      <c r="G13" s="16">
        <v>114</v>
      </c>
      <c r="H13" s="17">
        <v>1.6303756124115405</v>
      </c>
      <c r="I13" s="16">
        <v>2899</v>
      </c>
      <c r="J13" s="16">
        <v>775</v>
      </c>
      <c r="K13" s="21">
        <f t="shared" si="0"/>
        <v>21.094175285792051</v>
      </c>
    </row>
    <row r="14" spans="1:11" ht="12" customHeight="1" x14ac:dyDescent="0.2">
      <c r="A14" s="20" t="s">
        <v>16</v>
      </c>
      <c r="B14" s="16">
        <v>29006</v>
      </c>
      <c r="C14" s="16">
        <f>SUM(D14:G14)</f>
        <v>4152</v>
      </c>
      <c r="D14" s="16">
        <v>2368</v>
      </c>
      <c r="E14" s="16">
        <v>1361</v>
      </c>
      <c r="F14" s="16">
        <v>340</v>
      </c>
      <c r="G14" s="16">
        <v>83</v>
      </c>
      <c r="H14" s="17">
        <v>1.5546724470134874</v>
      </c>
      <c r="I14" s="16">
        <v>3213</v>
      </c>
      <c r="J14" s="16">
        <v>939</v>
      </c>
      <c r="K14" s="21">
        <f t="shared" si="0"/>
        <v>22.615606936416185</v>
      </c>
    </row>
    <row r="15" spans="1:11" ht="12" customHeight="1" x14ac:dyDescent="0.2">
      <c r="A15" s="22" t="s">
        <v>17</v>
      </c>
      <c r="B15" s="16">
        <f t="shared" ref="B15:G15" si="1">SUM(B10:B14)</f>
        <v>105202</v>
      </c>
      <c r="C15" s="16">
        <f t="shared" si="1"/>
        <v>16253</v>
      </c>
      <c r="D15" s="16">
        <f t="shared" si="1"/>
        <v>8948</v>
      </c>
      <c r="E15" s="16">
        <f t="shared" si="1"/>
        <v>5440</v>
      </c>
      <c r="F15" s="16">
        <f t="shared" si="1"/>
        <v>1443</v>
      </c>
      <c r="G15" s="16">
        <f t="shared" si="1"/>
        <v>422</v>
      </c>
      <c r="H15" s="17">
        <v>1.5981664923398757</v>
      </c>
      <c r="I15" s="16">
        <f>SUM(I10:I14)</f>
        <v>12682</v>
      </c>
      <c r="J15" s="16">
        <f>SUM(J10:J14)</f>
        <v>3571</v>
      </c>
      <c r="K15" s="21">
        <f t="shared" si="0"/>
        <v>21.971328370147049</v>
      </c>
    </row>
    <row r="16" spans="1:11" ht="12" customHeight="1" x14ac:dyDescent="0.2">
      <c r="A16" s="9"/>
      <c r="B16" s="16"/>
      <c r="C16" s="16"/>
      <c r="D16" s="16"/>
      <c r="E16" s="16"/>
      <c r="F16" s="16"/>
      <c r="G16" s="16"/>
      <c r="H16" s="17"/>
      <c r="I16" s="16"/>
      <c r="J16" s="16"/>
      <c r="K16" s="21"/>
    </row>
    <row r="17" spans="1:11" ht="12" customHeight="1" x14ac:dyDescent="0.2">
      <c r="A17" s="20" t="s">
        <v>18</v>
      </c>
      <c r="B17" s="16">
        <v>31747</v>
      </c>
      <c r="C17" s="16">
        <f t="shared" ref="C17:C32" si="2">SUM(D17:G17)</f>
        <v>6727</v>
      </c>
      <c r="D17" s="16">
        <v>3376</v>
      </c>
      <c r="E17" s="16">
        <v>2412</v>
      </c>
      <c r="F17" s="16">
        <v>716</v>
      </c>
      <c r="G17" s="16">
        <v>223</v>
      </c>
      <c r="H17" s="17">
        <v>1.6821763044447748</v>
      </c>
      <c r="I17" s="16">
        <v>5530</v>
      </c>
      <c r="J17" s="16">
        <v>1197</v>
      </c>
      <c r="K17" s="21">
        <f t="shared" ref="K17:K35" si="3">+J17/C17*100</f>
        <v>17.793964620187307</v>
      </c>
    </row>
    <row r="18" spans="1:11" ht="12" customHeight="1" x14ac:dyDescent="0.2">
      <c r="A18" s="20" t="s">
        <v>19</v>
      </c>
      <c r="B18" s="16">
        <v>3135</v>
      </c>
      <c r="C18" s="16">
        <f t="shared" si="2"/>
        <v>555</v>
      </c>
      <c r="D18" s="16">
        <v>272</v>
      </c>
      <c r="E18" s="16">
        <v>204</v>
      </c>
      <c r="F18" s="16">
        <v>64</v>
      </c>
      <c r="G18" s="16">
        <v>15</v>
      </c>
      <c r="H18" s="17">
        <v>1.6882882882882884</v>
      </c>
      <c r="I18" s="16">
        <v>461</v>
      </c>
      <c r="J18" s="16">
        <v>94</v>
      </c>
      <c r="K18" s="21">
        <f t="shared" si="3"/>
        <v>16.936936936936934</v>
      </c>
    </row>
    <row r="19" spans="1:11" ht="12" customHeight="1" x14ac:dyDescent="0.2">
      <c r="A19" s="20" t="s">
        <v>20</v>
      </c>
      <c r="B19" s="16">
        <v>6621</v>
      </c>
      <c r="C19" s="16">
        <f t="shared" si="2"/>
        <v>1201</v>
      </c>
      <c r="D19" s="16">
        <v>570</v>
      </c>
      <c r="E19" s="16">
        <v>455</v>
      </c>
      <c r="F19" s="16">
        <v>133</v>
      </c>
      <c r="G19" s="16">
        <v>43</v>
      </c>
      <c r="H19" s="17">
        <v>1.7194004995836802</v>
      </c>
      <c r="I19" s="16">
        <v>1010</v>
      </c>
      <c r="J19" s="16">
        <v>191</v>
      </c>
      <c r="K19" s="21">
        <f t="shared" si="3"/>
        <v>15.903413821815155</v>
      </c>
    </row>
    <row r="20" spans="1:11" ht="12" customHeight="1" x14ac:dyDescent="0.2">
      <c r="A20" s="20" t="s">
        <v>21</v>
      </c>
      <c r="B20" s="16">
        <v>8648</v>
      </c>
      <c r="C20" s="16">
        <f t="shared" si="2"/>
        <v>1539</v>
      </c>
      <c r="D20" s="16">
        <v>750</v>
      </c>
      <c r="E20" s="16">
        <v>601</v>
      </c>
      <c r="F20" s="16">
        <v>139</v>
      </c>
      <c r="G20" s="16">
        <v>49</v>
      </c>
      <c r="H20" s="17">
        <v>1.6783625730994152</v>
      </c>
      <c r="I20" s="16">
        <v>1287</v>
      </c>
      <c r="J20" s="16">
        <v>252</v>
      </c>
      <c r="K20" s="21">
        <f t="shared" si="3"/>
        <v>16.374269005847953</v>
      </c>
    </row>
    <row r="21" spans="1:11" ht="12" customHeight="1" x14ac:dyDescent="0.2">
      <c r="A21" s="20" t="s">
        <v>22</v>
      </c>
      <c r="B21" s="16">
        <v>13772</v>
      </c>
      <c r="C21" s="16">
        <f t="shared" si="2"/>
        <v>2535</v>
      </c>
      <c r="D21" s="16">
        <v>1311</v>
      </c>
      <c r="E21" s="16">
        <v>905</v>
      </c>
      <c r="F21" s="16">
        <v>265</v>
      </c>
      <c r="G21" s="16">
        <v>54</v>
      </c>
      <c r="H21" s="17">
        <v>1.6351084812623273</v>
      </c>
      <c r="I21" s="16">
        <v>2101</v>
      </c>
      <c r="J21" s="16">
        <v>434</v>
      </c>
      <c r="K21" s="21">
        <f t="shared" si="3"/>
        <v>17.120315581854044</v>
      </c>
    </row>
    <row r="22" spans="1:11" ht="12" customHeight="1" x14ac:dyDescent="0.2">
      <c r="A22" s="20" t="s">
        <v>23</v>
      </c>
      <c r="B22" s="16">
        <v>4551</v>
      </c>
      <c r="C22" s="16">
        <f t="shared" si="2"/>
        <v>992</v>
      </c>
      <c r="D22" s="16">
        <v>471</v>
      </c>
      <c r="E22" s="16">
        <v>391</v>
      </c>
      <c r="F22" s="16">
        <v>99</v>
      </c>
      <c r="G22" s="16">
        <v>31</v>
      </c>
      <c r="H22" s="17">
        <v>1.6955645161290323</v>
      </c>
      <c r="I22" s="16">
        <v>818</v>
      </c>
      <c r="J22" s="16">
        <v>174</v>
      </c>
      <c r="K22" s="21">
        <f t="shared" si="3"/>
        <v>17.540322580645164</v>
      </c>
    </row>
    <row r="23" spans="1:11" ht="12" customHeight="1" x14ac:dyDescent="0.2">
      <c r="A23" s="20" t="s">
        <v>24</v>
      </c>
      <c r="B23" s="16">
        <v>14680</v>
      </c>
      <c r="C23" s="16">
        <f t="shared" si="2"/>
        <v>2779</v>
      </c>
      <c r="D23" s="16">
        <v>1343</v>
      </c>
      <c r="E23" s="16">
        <v>1092</v>
      </c>
      <c r="F23" s="16">
        <v>269</v>
      </c>
      <c r="G23" s="16">
        <v>75</v>
      </c>
      <c r="H23" s="17">
        <v>1.6765023389708529</v>
      </c>
      <c r="I23" s="16">
        <v>2293</v>
      </c>
      <c r="J23" s="16">
        <v>486</v>
      </c>
      <c r="K23" s="21">
        <f t="shared" si="3"/>
        <v>17.488305145735879</v>
      </c>
    </row>
    <row r="24" spans="1:11" ht="12" customHeight="1" x14ac:dyDescent="0.2">
      <c r="A24" s="20" t="s">
        <v>25</v>
      </c>
      <c r="B24" s="16">
        <v>11634</v>
      </c>
      <c r="C24" s="16">
        <f t="shared" si="2"/>
        <v>2811</v>
      </c>
      <c r="D24" s="16">
        <v>1335</v>
      </c>
      <c r="E24" s="16">
        <v>1056</v>
      </c>
      <c r="F24" s="16">
        <v>314</v>
      </c>
      <c r="G24" s="16">
        <v>106</v>
      </c>
      <c r="H24" s="17">
        <v>1.7214514407684098</v>
      </c>
      <c r="I24" s="16">
        <v>2333</v>
      </c>
      <c r="J24" s="16">
        <v>478</v>
      </c>
      <c r="K24" s="21">
        <f t="shared" si="3"/>
        <v>17.004624688722874</v>
      </c>
    </row>
    <row r="25" spans="1:11" ht="12" customHeight="1" x14ac:dyDescent="0.2">
      <c r="A25" s="20" t="s">
        <v>26</v>
      </c>
      <c r="B25" s="16">
        <v>3234</v>
      </c>
      <c r="C25" s="16">
        <f t="shared" si="2"/>
        <v>613</v>
      </c>
      <c r="D25" s="16">
        <v>317</v>
      </c>
      <c r="E25" s="16">
        <v>237</v>
      </c>
      <c r="F25" s="16">
        <v>49</v>
      </c>
      <c r="G25" s="16">
        <v>10</v>
      </c>
      <c r="H25" s="17">
        <v>1.598694942903752</v>
      </c>
      <c r="I25" s="16">
        <v>496</v>
      </c>
      <c r="J25" s="16">
        <v>117</v>
      </c>
      <c r="K25" s="21">
        <f t="shared" si="3"/>
        <v>19.086460032626427</v>
      </c>
    </row>
    <row r="26" spans="1:11" ht="12" customHeight="1" x14ac:dyDescent="0.2">
      <c r="A26" s="20" t="s">
        <v>27</v>
      </c>
      <c r="B26" s="16">
        <v>3843</v>
      </c>
      <c r="C26" s="16">
        <f t="shared" si="2"/>
        <v>816</v>
      </c>
      <c r="D26" s="16">
        <v>385</v>
      </c>
      <c r="E26" s="16">
        <v>333</v>
      </c>
      <c r="F26" s="16">
        <v>78</v>
      </c>
      <c r="G26" s="16">
        <v>20</v>
      </c>
      <c r="H26" s="17">
        <v>1.6752450980392157</v>
      </c>
      <c r="I26" s="16">
        <v>680</v>
      </c>
      <c r="J26" s="16">
        <v>136</v>
      </c>
      <c r="K26" s="21">
        <f t="shared" si="3"/>
        <v>16.666666666666664</v>
      </c>
    </row>
    <row r="27" spans="1:11" ht="12" customHeight="1" x14ac:dyDescent="0.2">
      <c r="A27" s="20" t="s">
        <v>28</v>
      </c>
      <c r="B27" s="16">
        <v>6547</v>
      </c>
      <c r="C27" s="16">
        <f t="shared" si="2"/>
        <v>1142</v>
      </c>
      <c r="D27" s="16">
        <v>561</v>
      </c>
      <c r="E27" s="16">
        <v>458</v>
      </c>
      <c r="F27" s="16">
        <v>94</v>
      </c>
      <c r="G27" s="16">
        <v>29</v>
      </c>
      <c r="H27" s="17">
        <v>1.6488616462346759</v>
      </c>
      <c r="I27" s="16">
        <v>932</v>
      </c>
      <c r="J27" s="16">
        <v>210</v>
      </c>
      <c r="K27" s="21">
        <f t="shared" si="3"/>
        <v>18.388791593695274</v>
      </c>
    </row>
    <row r="28" spans="1:11" ht="12" customHeight="1" x14ac:dyDescent="0.2">
      <c r="A28" s="20" t="s">
        <v>29</v>
      </c>
      <c r="B28" s="16">
        <v>11268</v>
      </c>
      <c r="C28" s="16">
        <f t="shared" si="2"/>
        <v>2270</v>
      </c>
      <c r="D28" s="16">
        <v>1072</v>
      </c>
      <c r="E28" s="16">
        <v>868</v>
      </c>
      <c r="F28" s="16">
        <v>255</v>
      </c>
      <c r="G28" s="16">
        <v>75</v>
      </c>
      <c r="H28" s="17">
        <v>1.7162995594713657</v>
      </c>
      <c r="I28" s="16">
        <v>1858</v>
      </c>
      <c r="J28" s="16">
        <v>412</v>
      </c>
      <c r="K28" s="21">
        <f t="shared" si="3"/>
        <v>18.14977973568282</v>
      </c>
    </row>
    <row r="29" spans="1:11" ht="12" customHeight="1" x14ac:dyDescent="0.2">
      <c r="A29" s="20" t="s">
        <v>30</v>
      </c>
      <c r="B29" s="16">
        <v>5384</v>
      </c>
      <c r="C29" s="16">
        <f t="shared" si="2"/>
        <v>1440</v>
      </c>
      <c r="D29" s="16">
        <v>680</v>
      </c>
      <c r="E29" s="16">
        <v>554</v>
      </c>
      <c r="F29" s="16">
        <v>158</v>
      </c>
      <c r="G29" s="16">
        <v>48</v>
      </c>
      <c r="H29" s="17">
        <v>1.7173611111111111</v>
      </c>
      <c r="I29" s="16">
        <v>1234</v>
      </c>
      <c r="J29" s="16">
        <v>206</v>
      </c>
      <c r="K29" s="21">
        <f t="shared" si="3"/>
        <v>14.305555555555555</v>
      </c>
    </row>
    <row r="30" spans="1:11" ht="12" customHeight="1" x14ac:dyDescent="0.2">
      <c r="A30" s="20" t="s">
        <v>31</v>
      </c>
      <c r="B30" s="16">
        <v>7753</v>
      </c>
      <c r="C30" s="16">
        <f t="shared" si="2"/>
        <v>1563</v>
      </c>
      <c r="D30" s="16">
        <v>788</v>
      </c>
      <c r="E30" s="16">
        <v>598</v>
      </c>
      <c r="F30" s="16">
        <v>147</v>
      </c>
      <c r="G30" s="16">
        <v>30</v>
      </c>
      <c r="H30" s="17">
        <v>1.6301983365323096</v>
      </c>
      <c r="I30" s="16">
        <v>1309</v>
      </c>
      <c r="J30" s="16">
        <v>254</v>
      </c>
      <c r="K30" s="21">
        <f t="shared" si="3"/>
        <v>16.250799744081892</v>
      </c>
    </row>
    <row r="31" spans="1:11" ht="12" customHeight="1" x14ac:dyDescent="0.2">
      <c r="A31" s="20" t="s">
        <v>32</v>
      </c>
      <c r="B31" s="16">
        <v>21986</v>
      </c>
      <c r="C31" s="16">
        <f t="shared" si="2"/>
        <v>3806</v>
      </c>
      <c r="D31" s="16">
        <v>1941</v>
      </c>
      <c r="E31" s="16">
        <v>1381</v>
      </c>
      <c r="F31" s="16">
        <v>378</v>
      </c>
      <c r="G31" s="16">
        <v>106</v>
      </c>
      <c r="H31" s="17">
        <v>1.6555438780872307</v>
      </c>
      <c r="I31" s="16">
        <v>3105</v>
      </c>
      <c r="J31" s="16">
        <v>701</v>
      </c>
      <c r="K31" s="21">
        <f t="shared" si="3"/>
        <v>18.418286915396742</v>
      </c>
    </row>
    <row r="32" spans="1:11" ht="12" customHeight="1" x14ac:dyDescent="0.2">
      <c r="A32" s="20" t="s">
        <v>33</v>
      </c>
      <c r="B32" s="16">
        <v>4521</v>
      </c>
      <c r="C32" s="16">
        <f t="shared" si="2"/>
        <v>835</v>
      </c>
      <c r="D32" s="16">
        <v>442</v>
      </c>
      <c r="E32" s="16">
        <v>317</v>
      </c>
      <c r="F32" s="16">
        <v>60</v>
      </c>
      <c r="G32" s="16">
        <v>16</v>
      </c>
      <c r="H32" s="17">
        <v>1.5976047904191617</v>
      </c>
      <c r="I32" s="16">
        <v>683</v>
      </c>
      <c r="J32" s="16">
        <v>152</v>
      </c>
      <c r="K32" s="21">
        <f t="shared" si="3"/>
        <v>18.203592814371259</v>
      </c>
    </row>
    <row r="33" spans="1:11" ht="12" customHeight="1" x14ac:dyDescent="0.2">
      <c r="A33" s="20" t="s">
        <v>34</v>
      </c>
      <c r="B33" s="16">
        <v>13504</v>
      </c>
      <c r="C33" s="16">
        <f>SUM(D33:G33)</f>
        <v>3157</v>
      </c>
      <c r="D33" s="16">
        <v>1439</v>
      </c>
      <c r="E33" s="16">
        <v>1262</v>
      </c>
      <c r="F33" s="16">
        <v>365</v>
      </c>
      <c r="G33" s="16">
        <v>91</v>
      </c>
      <c r="H33" s="17">
        <v>1.7218878682293317</v>
      </c>
      <c r="I33" s="16">
        <v>2662</v>
      </c>
      <c r="J33" s="16">
        <v>495</v>
      </c>
      <c r="K33" s="21">
        <f t="shared" si="3"/>
        <v>15.6794425087108</v>
      </c>
    </row>
    <row r="34" spans="1:11" ht="12" customHeight="1" x14ac:dyDescent="0.2">
      <c r="A34" s="20" t="s">
        <v>35</v>
      </c>
      <c r="B34" s="16">
        <v>16823</v>
      </c>
      <c r="C34" s="16">
        <f>SUM(D34:G34)</f>
        <v>3540</v>
      </c>
      <c r="D34" s="16">
        <v>1868</v>
      </c>
      <c r="E34" s="16">
        <v>1246</v>
      </c>
      <c r="F34" s="16">
        <v>330</v>
      </c>
      <c r="G34" s="16">
        <v>96</v>
      </c>
      <c r="H34" s="17">
        <v>1.6296610169491526</v>
      </c>
      <c r="I34" s="16">
        <v>2870</v>
      </c>
      <c r="J34" s="16">
        <v>670</v>
      </c>
      <c r="K34" s="21">
        <f t="shared" si="3"/>
        <v>18.926553672316384</v>
      </c>
    </row>
    <row r="35" spans="1:11" ht="12" customHeight="1" x14ac:dyDescent="0.2">
      <c r="A35" s="22" t="s">
        <v>36</v>
      </c>
      <c r="B35" s="16">
        <f t="shared" ref="B35:G35" si="4">SUM(B17:B34)</f>
        <v>189651</v>
      </c>
      <c r="C35" s="16">
        <f>SUM(D35:G35)</f>
        <v>38321</v>
      </c>
      <c r="D35" s="16">
        <f t="shared" si="4"/>
        <v>18921</v>
      </c>
      <c r="E35" s="16">
        <f t="shared" si="4"/>
        <v>14370</v>
      </c>
      <c r="F35" s="16">
        <f t="shared" si="4"/>
        <v>3913</v>
      </c>
      <c r="G35" s="16">
        <f t="shared" si="4"/>
        <v>1117</v>
      </c>
      <c r="H35" s="17">
        <v>1.6756608647999791</v>
      </c>
      <c r="I35" s="16">
        <f>SUM(I17:I34)</f>
        <v>31662</v>
      </c>
      <c r="J35" s="16">
        <f>SUM(J17:J34)</f>
        <v>6659</v>
      </c>
      <c r="K35" s="21">
        <f t="shared" si="3"/>
        <v>17.376895174969338</v>
      </c>
    </row>
    <row r="36" spans="1:11" ht="12" customHeight="1" x14ac:dyDescent="0.2">
      <c r="A36" s="9"/>
      <c r="B36" s="16"/>
      <c r="C36" s="16"/>
      <c r="D36" s="16"/>
      <c r="E36" s="16"/>
      <c r="F36" s="16"/>
      <c r="G36" s="16"/>
      <c r="H36" s="17"/>
      <c r="I36" s="16"/>
      <c r="J36" s="16"/>
      <c r="K36" s="21"/>
    </row>
    <row r="37" spans="1:11" ht="12" customHeight="1" x14ac:dyDescent="0.2">
      <c r="A37" s="22" t="s">
        <v>37</v>
      </c>
      <c r="B37" s="16">
        <f>B15+B35</f>
        <v>294853</v>
      </c>
      <c r="C37" s="16">
        <f>SUM(D37:G37)</f>
        <v>54574</v>
      </c>
      <c r="D37" s="16">
        <f>D15+D35</f>
        <v>27869</v>
      </c>
      <c r="E37" s="16">
        <f>E15+E35</f>
        <v>19810</v>
      </c>
      <c r="F37" s="16">
        <f>F15+F35</f>
        <v>5356</v>
      </c>
      <c r="G37" s="16">
        <f>G15+G35</f>
        <v>1539</v>
      </c>
      <c r="H37" s="17">
        <v>1.6525818155165464</v>
      </c>
      <c r="I37" s="16">
        <f>I15+I35</f>
        <v>44344</v>
      </c>
      <c r="J37" s="16">
        <f>J15+J35</f>
        <v>10230</v>
      </c>
      <c r="K37" s="21">
        <f>+J37/C37*100</f>
        <v>18.745190017224321</v>
      </c>
    </row>
    <row r="38" spans="1:11" ht="12" customHeight="1" x14ac:dyDescent="0.2">
      <c r="A38" s="23" t="s">
        <v>38</v>
      </c>
      <c r="B38" s="18"/>
      <c r="C38" s="15"/>
      <c r="D38" s="15"/>
      <c r="E38" s="15"/>
      <c r="F38" s="15"/>
      <c r="G38" s="24"/>
      <c r="H38" s="15"/>
      <c r="I38" s="15"/>
      <c r="J38" s="15"/>
      <c r="K38" s="15"/>
    </row>
    <row r="39" spans="1:11" ht="12" customHeight="1" x14ac:dyDescent="0.2">
      <c r="A39" s="19" t="s">
        <v>55</v>
      </c>
      <c r="B39" s="15"/>
      <c r="C39" s="15"/>
      <c r="D39" s="15"/>
      <c r="E39" s="15"/>
      <c r="F39" s="15"/>
      <c r="G39" s="24"/>
      <c r="H39" s="15"/>
      <c r="I39" s="15"/>
      <c r="J39" s="15"/>
      <c r="K39" s="15"/>
    </row>
    <row r="40" spans="1:11" ht="12" customHeight="1" x14ac:dyDescent="0.2"/>
    <row r="41" spans="1:11" ht="12" customHeight="1" x14ac:dyDescent="0.2"/>
    <row r="42" spans="1:11" ht="12" customHeight="1" x14ac:dyDescent="0.2"/>
    <row r="43" spans="1:11" ht="12" customHeight="1" x14ac:dyDescent="0.2"/>
    <row r="44" spans="1:11" ht="12" customHeight="1" x14ac:dyDescent="0.2"/>
    <row r="45" spans="1:11" ht="12" customHeight="1" x14ac:dyDescent="0.2"/>
    <row r="46" spans="1:11" ht="12" customHeight="1" x14ac:dyDescent="0.2"/>
    <row r="47" spans="1:11" ht="12" customHeight="1" x14ac:dyDescent="0.2"/>
    <row r="48" spans="1:11" ht="12" customHeight="1" x14ac:dyDescent="0.2"/>
    <row r="49" s="2" customFormat="1" ht="11.25" x14ac:dyDescent="0.2"/>
    <row r="50" s="2" customFormat="1" ht="11.25" x14ac:dyDescent="0.2"/>
    <row r="51" ht="11.25" x14ac:dyDescent="0.2"/>
    <row r="52" ht="11.25" x14ac:dyDescent="0.2"/>
    <row r="67" spans="1:1" ht="12.75" customHeight="1" x14ac:dyDescent="0.2">
      <c r="A67" s="2"/>
    </row>
  </sheetData>
  <mergeCells count="4">
    <mergeCell ref="A6:A8"/>
    <mergeCell ref="B6:B8"/>
    <mergeCell ref="C7:C8"/>
    <mergeCell ref="I7:I8"/>
  </mergeCells>
  <phoneticPr fontId="0" type="noConversion"/>
  <pageMargins left="0.59055118110236227" right="0.59055118110236227" top="0.59055118110236227" bottom="0.59055118110236227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1"/>
  <dimension ref="A1:K67"/>
  <sheetViews>
    <sheetView workbookViewId="0">
      <selection activeCell="M1" sqref="M1:N65536"/>
    </sheetView>
  </sheetViews>
  <sheetFormatPr baseColWidth="10" defaultColWidth="9.83203125" defaultRowHeight="12.75" customHeight="1" x14ac:dyDescent="0.2"/>
  <cols>
    <col min="1" max="1" width="20.83203125" customWidth="1"/>
    <col min="2" max="4" width="9.6640625" customWidth="1"/>
    <col min="5" max="9" width="9" customWidth="1"/>
    <col min="10" max="10" width="9.6640625" customWidth="1"/>
    <col min="11" max="11" width="10" customWidth="1"/>
  </cols>
  <sheetData>
    <row r="1" spans="1:11" ht="12.75" customHeight="1" x14ac:dyDescent="0.2">
      <c r="A1" s="3" t="s">
        <v>52</v>
      </c>
      <c r="B1" s="3"/>
      <c r="C1" s="3"/>
      <c r="D1" s="3"/>
      <c r="E1" s="3"/>
      <c r="F1" s="3"/>
      <c r="G1" s="3"/>
      <c r="H1" s="1"/>
      <c r="I1" s="1"/>
      <c r="J1" s="1"/>
      <c r="K1" s="1"/>
    </row>
    <row r="3" spans="1:11" ht="12" customHeight="1" x14ac:dyDescent="0.2">
      <c r="A3" s="25" t="s">
        <v>61</v>
      </c>
      <c r="B3" s="26"/>
      <c r="C3" s="26"/>
      <c r="D3" s="26"/>
      <c r="E3" s="26"/>
      <c r="F3" s="26"/>
      <c r="G3" s="26"/>
      <c r="H3" s="26"/>
      <c r="I3" s="26"/>
      <c r="J3" s="26"/>
      <c r="K3" s="26"/>
    </row>
    <row r="4" spans="1:11" ht="12" customHeight="1" x14ac:dyDescent="0.2">
      <c r="A4" s="25" t="s">
        <v>0</v>
      </c>
      <c r="B4" s="26"/>
      <c r="C4" s="26"/>
      <c r="D4" s="26"/>
      <c r="E4" s="26"/>
      <c r="F4" s="26"/>
      <c r="G4" s="26"/>
      <c r="H4" s="26"/>
      <c r="I4" s="26"/>
      <c r="J4" s="26"/>
      <c r="K4" s="26"/>
    </row>
    <row r="5" spans="1:11" ht="12" customHeight="1" x14ac:dyDescent="0.2">
      <c r="A5" s="4"/>
      <c r="B5" s="5"/>
      <c r="C5" s="5"/>
      <c r="D5" s="5"/>
      <c r="E5" s="5"/>
      <c r="F5" s="5"/>
      <c r="G5" s="5"/>
      <c r="H5" s="5"/>
      <c r="I5" s="5"/>
      <c r="J5" s="5"/>
      <c r="K5" s="5"/>
    </row>
    <row r="6" spans="1:11" ht="12" customHeight="1" x14ac:dyDescent="0.2">
      <c r="A6" s="189" t="s">
        <v>2</v>
      </c>
      <c r="B6" s="190" t="s">
        <v>87</v>
      </c>
      <c r="C6" s="6" t="s">
        <v>1</v>
      </c>
      <c r="D6" s="6"/>
      <c r="E6" s="6"/>
      <c r="F6" s="6"/>
      <c r="G6" s="6"/>
      <c r="H6" s="6"/>
      <c r="I6" s="6"/>
      <c r="J6" s="6"/>
      <c r="K6" s="6"/>
    </row>
    <row r="7" spans="1:11" ht="12" customHeight="1" x14ac:dyDescent="0.2">
      <c r="A7" s="187"/>
      <c r="B7" s="176"/>
      <c r="C7" s="191" t="s">
        <v>3</v>
      </c>
      <c r="D7" s="6" t="s">
        <v>4</v>
      </c>
      <c r="E7" s="6"/>
      <c r="F7" s="6"/>
      <c r="G7" s="6"/>
      <c r="H7" s="7" t="s">
        <v>5</v>
      </c>
      <c r="I7" s="191" t="s">
        <v>6</v>
      </c>
      <c r="J7" s="8" t="s">
        <v>7</v>
      </c>
      <c r="K7" s="6"/>
    </row>
    <row r="8" spans="1:11" ht="12" customHeight="1" x14ac:dyDescent="0.2">
      <c r="A8" s="188"/>
      <c r="B8" s="177"/>
      <c r="C8" s="179"/>
      <c r="D8" s="85">
        <v>1</v>
      </c>
      <c r="E8" s="86">
        <v>2</v>
      </c>
      <c r="F8" s="11">
        <v>3</v>
      </c>
      <c r="G8" s="12" t="s">
        <v>8</v>
      </c>
      <c r="H8" s="13" t="s">
        <v>9</v>
      </c>
      <c r="I8" s="179"/>
      <c r="J8" s="10" t="s">
        <v>10</v>
      </c>
      <c r="K8" s="14" t="s">
        <v>11</v>
      </c>
    </row>
    <row r="9" spans="1:11" ht="12" customHeight="1" x14ac:dyDescent="0.2">
      <c r="A9" s="9"/>
      <c r="B9" s="15"/>
      <c r="C9" s="15"/>
      <c r="D9" s="15"/>
      <c r="E9" s="15"/>
      <c r="F9" s="15"/>
      <c r="G9" s="15"/>
      <c r="H9" s="15"/>
      <c r="I9" s="15"/>
      <c r="J9" s="15"/>
      <c r="K9" s="15"/>
    </row>
    <row r="10" spans="1:11" ht="12" customHeight="1" x14ac:dyDescent="0.2">
      <c r="A10" s="20" t="s">
        <v>12</v>
      </c>
      <c r="B10" s="16">
        <v>13502</v>
      </c>
      <c r="C10" s="16">
        <f>SUM(D10:G10)</f>
        <v>1686</v>
      </c>
      <c r="D10" s="16">
        <v>960</v>
      </c>
      <c r="E10" s="16">
        <v>539</v>
      </c>
      <c r="F10" s="16">
        <v>131</v>
      </c>
      <c r="G10" s="16">
        <v>56</v>
      </c>
      <c r="H10" s="17">
        <v>1.5889679715302492</v>
      </c>
      <c r="I10" s="16">
        <v>1313</v>
      </c>
      <c r="J10" s="16">
        <v>373</v>
      </c>
      <c r="K10" s="21">
        <f>+J10/C10*100</f>
        <v>22.123368920521948</v>
      </c>
    </row>
    <row r="11" spans="1:11" ht="12" customHeight="1" x14ac:dyDescent="0.2">
      <c r="A11" s="20" t="s">
        <v>13</v>
      </c>
      <c r="B11" s="16">
        <v>13144</v>
      </c>
      <c r="C11" s="16">
        <f>SUM(D11:G11)</f>
        <v>2216</v>
      </c>
      <c r="D11" s="16">
        <v>1174</v>
      </c>
      <c r="E11" s="16">
        <v>743</v>
      </c>
      <c r="F11" s="16">
        <v>222</v>
      </c>
      <c r="G11" s="16">
        <v>77</v>
      </c>
      <c r="H11" s="17">
        <v>1.651624548736462</v>
      </c>
      <c r="I11" s="16">
        <v>1792</v>
      </c>
      <c r="J11" s="16">
        <v>424</v>
      </c>
      <c r="K11" s="21">
        <f t="shared" ref="K11:K26" si="0">+J11/C11*100</f>
        <v>19.133574007220215</v>
      </c>
    </row>
    <row r="12" spans="1:11" ht="12" customHeight="1" x14ac:dyDescent="0.2">
      <c r="A12" s="20" t="s">
        <v>14</v>
      </c>
      <c r="B12" s="16">
        <v>25718</v>
      </c>
      <c r="C12" s="16">
        <f>SUM(D12:G12)</f>
        <v>4791</v>
      </c>
      <c r="D12" s="16">
        <v>2659</v>
      </c>
      <c r="E12" s="16">
        <v>1633</v>
      </c>
      <c r="F12" s="16">
        <v>395</v>
      </c>
      <c r="G12" s="16">
        <v>104</v>
      </c>
      <c r="H12" s="17">
        <v>1.5787935712794823</v>
      </c>
      <c r="I12" s="16">
        <v>3713</v>
      </c>
      <c r="J12" s="16">
        <v>1078</v>
      </c>
      <c r="K12" s="21">
        <f t="shared" si="0"/>
        <v>22.50052181173033</v>
      </c>
    </row>
    <row r="13" spans="1:11" ht="12" customHeight="1" x14ac:dyDescent="0.2">
      <c r="A13" s="20" t="s">
        <v>15</v>
      </c>
      <c r="B13" s="16">
        <v>23915</v>
      </c>
      <c r="C13" s="16">
        <f>SUM(D13:G13)</f>
        <v>3778</v>
      </c>
      <c r="D13" s="16">
        <v>1994</v>
      </c>
      <c r="E13" s="16">
        <v>1298</v>
      </c>
      <c r="F13" s="16">
        <v>375</v>
      </c>
      <c r="G13" s="16">
        <v>111</v>
      </c>
      <c r="H13" s="17">
        <v>1.6410799364743249</v>
      </c>
      <c r="I13" s="16">
        <v>3001</v>
      </c>
      <c r="J13" s="16">
        <v>777</v>
      </c>
      <c r="K13" s="21">
        <f t="shared" si="0"/>
        <v>20.566437268395976</v>
      </c>
    </row>
    <row r="14" spans="1:11" ht="12" customHeight="1" x14ac:dyDescent="0.2">
      <c r="A14" s="20" t="s">
        <v>16</v>
      </c>
      <c r="B14" s="16">
        <v>29235</v>
      </c>
      <c r="C14" s="16">
        <f>SUM(D14:G14)</f>
        <v>4358</v>
      </c>
      <c r="D14" s="16">
        <v>2474</v>
      </c>
      <c r="E14" s="16">
        <v>1434</v>
      </c>
      <c r="F14" s="16">
        <v>360</v>
      </c>
      <c r="G14" s="16">
        <v>90</v>
      </c>
      <c r="H14" s="17">
        <v>1.5603487838458008</v>
      </c>
      <c r="I14" s="16">
        <v>3394</v>
      </c>
      <c r="J14" s="16">
        <v>964</v>
      </c>
      <c r="K14" s="21">
        <f t="shared" si="0"/>
        <v>22.120238641578705</v>
      </c>
    </row>
    <row r="15" spans="1:11" ht="12" customHeight="1" x14ac:dyDescent="0.2">
      <c r="A15" s="22" t="s">
        <v>17</v>
      </c>
      <c r="B15" s="16">
        <f>SUM(B10:B14)</f>
        <v>105514</v>
      </c>
      <c r="C15" s="16">
        <f t="shared" ref="C15:J15" si="1">SUM(C10:C14)</f>
        <v>16829</v>
      </c>
      <c r="D15" s="16">
        <f t="shared" si="1"/>
        <v>9261</v>
      </c>
      <c r="E15" s="16">
        <f t="shared" si="1"/>
        <v>5647</v>
      </c>
      <c r="F15" s="16">
        <f t="shared" si="1"/>
        <v>1483</v>
      </c>
      <c r="G15" s="16">
        <f t="shared" si="1"/>
        <v>438</v>
      </c>
      <c r="H15" s="17">
        <v>1.5986095430506864</v>
      </c>
      <c r="I15" s="16">
        <f t="shared" si="1"/>
        <v>13213</v>
      </c>
      <c r="J15" s="16">
        <f t="shared" si="1"/>
        <v>3616</v>
      </c>
      <c r="K15" s="21">
        <f t="shared" si="0"/>
        <v>21.486719353496937</v>
      </c>
    </row>
    <row r="16" spans="1:11" ht="12" customHeight="1" x14ac:dyDescent="0.2">
      <c r="A16" s="9"/>
      <c r="B16" s="16"/>
      <c r="C16" s="16"/>
      <c r="D16" s="16"/>
      <c r="E16" s="16"/>
      <c r="F16" s="16"/>
      <c r="G16" s="16"/>
      <c r="H16" s="17"/>
      <c r="I16" s="16"/>
      <c r="J16" s="16"/>
      <c r="K16" s="21"/>
    </row>
    <row r="17" spans="1:11" ht="12" customHeight="1" x14ac:dyDescent="0.2">
      <c r="A17" s="20" t="s">
        <v>18</v>
      </c>
      <c r="B17" s="16">
        <v>31355</v>
      </c>
      <c r="C17" s="16">
        <f t="shared" ref="C17:C34" si="2">SUM(D17:G17)</f>
        <v>6650</v>
      </c>
      <c r="D17" s="16">
        <v>3352</v>
      </c>
      <c r="E17" s="16">
        <v>2394</v>
      </c>
      <c r="F17" s="16">
        <v>697</v>
      </c>
      <c r="G17" s="16">
        <v>207</v>
      </c>
      <c r="H17" s="17">
        <v>1.673233082706767</v>
      </c>
      <c r="I17" s="16">
        <v>5471</v>
      </c>
      <c r="J17" s="16">
        <v>1179</v>
      </c>
      <c r="K17" s="21">
        <f t="shared" si="0"/>
        <v>17.729323308270679</v>
      </c>
    </row>
    <row r="18" spans="1:11" ht="12" customHeight="1" x14ac:dyDescent="0.2">
      <c r="A18" s="20" t="s">
        <v>19</v>
      </c>
      <c r="B18" s="16">
        <v>3101</v>
      </c>
      <c r="C18" s="16">
        <f t="shared" si="2"/>
        <v>579</v>
      </c>
      <c r="D18" s="16">
        <v>302</v>
      </c>
      <c r="E18" s="16">
        <v>201</v>
      </c>
      <c r="F18" s="16">
        <v>61</v>
      </c>
      <c r="G18" s="16">
        <v>15</v>
      </c>
      <c r="H18" s="17">
        <v>1.6442141623488773</v>
      </c>
      <c r="I18" s="16">
        <v>486</v>
      </c>
      <c r="J18" s="16">
        <v>93</v>
      </c>
      <c r="K18" s="21">
        <f t="shared" si="0"/>
        <v>16.062176165803109</v>
      </c>
    </row>
    <row r="19" spans="1:11" ht="12" customHeight="1" x14ac:dyDescent="0.2">
      <c r="A19" s="20" t="s">
        <v>20</v>
      </c>
      <c r="B19" s="16">
        <v>6602</v>
      </c>
      <c r="C19" s="16">
        <f t="shared" si="2"/>
        <v>1187</v>
      </c>
      <c r="D19" s="16">
        <v>577</v>
      </c>
      <c r="E19" s="16">
        <v>452</v>
      </c>
      <c r="F19" s="16">
        <v>126</v>
      </c>
      <c r="G19" s="16">
        <v>32</v>
      </c>
      <c r="H19" s="17">
        <v>1.6781802864363942</v>
      </c>
      <c r="I19" s="16">
        <v>1004</v>
      </c>
      <c r="J19" s="16">
        <v>183</v>
      </c>
      <c r="K19" s="21">
        <f t="shared" si="0"/>
        <v>15.417017691659646</v>
      </c>
    </row>
    <row r="20" spans="1:11" ht="12" customHeight="1" x14ac:dyDescent="0.2">
      <c r="A20" s="20" t="s">
        <v>21</v>
      </c>
      <c r="B20" s="16">
        <v>8701</v>
      </c>
      <c r="C20" s="16">
        <f t="shared" si="2"/>
        <v>1518</v>
      </c>
      <c r="D20" s="16">
        <v>740</v>
      </c>
      <c r="E20" s="16">
        <v>596</v>
      </c>
      <c r="F20" s="16">
        <v>136</v>
      </c>
      <c r="G20" s="16">
        <v>46</v>
      </c>
      <c r="H20" s="17">
        <v>1.6752305665349143</v>
      </c>
      <c r="I20" s="16">
        <v>1265</v>
      </c>
      <c r="J20" s="16">
        <v>253</v>
      </c>
      <c r="K20" s="21">
        <f t="shared" si="0"/>
        <v>16.666666666666664</v>
      </c>
    </row>
    <row r="21" spans="1:11" ht="12" customHeight="1" x14ac:dyDescent="0.2">
      <c r="A21" s="20" t="s">
        <v>22</v>
      </c>
      <c r="B21" s="16">
        <v>14054</v>
      </c>
      <c r="C21" s="16">
        <f t="shared" si="2"/>
        <v>2593</v>
      </c>
      <c r="D21" s="16">
        <v>1343</v>
      </c>
      <c r="E21" s="16">
        <v>920</v>
      </c>
      <c r="F21" s="16">
        <v>261</v>
      </c>
      <c r="G21" s="16">
        <v>69</v>
      </c>
      <c r="H21" s="17">
        <v>1.6440416505977633</v>
      </c>
      <c r="I21" s="16">
        <v>2146</v>
      </c>
      <c r="J21" s="16">
        <v>447</v>
      </c>
      <c r="K21" s="21">
        <f t="shared" si="0"/>
        <v>17.238719629772465</v>
      </c>
    </row>
    <row r="22" spans="1:11" ht="12" customHeight="1" x14ac:dyDescent="0.2">
      <c r="A22" s="20" t="s">
        <v>23</v>
      </c>
      <c r="B22" s="16">
        <v>4561</v>
      </c>
      <c r="C22" s="16">
        <f t="shared" si="2"/>
        <v>1004</v>
      </c>
      <c r="D22" s="16">
        <v>489</v>
      </c>
      <c r="E22" s="16">
        <v>383</v>
      </c>
      <c r="F22" s="16">
        <v>106</v>
      </c>
      <c r="G22" s="16">
        <v>26</v>
      </c>
      <c r="H22" s="17">
        <v>1.6792828685258965</v>
      </c>
      <c r="I22" s="16">
        <v>846</v>
      </c>
      <c r="J22" s="16">
        <v>158</v>
      </c>
      <c r="K22" s="21">
        <f t="shared" si="0"/>
        <v>15.737051792828685</v>
      </c>
    </row>
    <row r="23" spans="1:11" ht="12" customHeight="1" x14ac:dyDescent="0.2">
      <c r="A23" s="20" t="s">
        <v>24</v>
      </c>
      <c r="B23" s="16">
        <v>14617</v>
      </c>
      <c r="C23" s="16">
        <f t="shared" si="2"/>
        <v>2771</v>
      </c>
      <c r="D23" s="16">
        <v>1354</v>
      </c>
      <c r="E23" s="16">
        <v>1072</v>
      </c>
      <c r="F23" s="16">
        <v>269</v>
      </c>
      <c r="G23" s="16">
        <v>76</v>
      </c>
      <c r="H23" s="17">
        <v>1.6726813424756406</v>
      </c>
      <c r="I23" s="16">
        <v>2286</v>
      </c>
      <c r="J23" s="16">
        <v>485</v>
      </c>
      <c r="K23" s="21">
        <f t="shared" si="0"/>
        <v>17.502706604114039</v>
      </c>
    </row>
    <row r="24" spans="1:11" ht="12" customHeight="1" x14ac:dyDescent="0.2">
      <c r="A24" s="20" t="s">
        <v>25</v>
      </c>
      <c r="B24" s="16">
        <v>11694</v>
      </c>
      <c r="C24" s="16">
        <f t="shared" si="2"/>
        <v>2863</v>
      </c>
      <c r="D24" s="16">
        <v>1345</v>
      </c>
      <c r="E24" s="16">
        <v>1098</v>
      </c>
      <c r="F24" s="16">
        <v>316</v>
      </c>
      <c r="G24" s="16">
        <v>104</v>
      </c>
      <c r="H24" s="17">
        <v>1.7223192455466294</v>
      </c>
      <c r="I24" s="16">
        <v>2365</v>
      </c>
      <c r="J24" s="16">
        <v>498</v>
      </c>
      <c r="K24" s="21">
        <f t="shared" si="0"/>
        <v>17.394341599720573</v>
      </c>
    </row>
    <row r="25" spans="1:11" ht="12" customHeight="1" x14ac:dyDescent="0.2">
      <c r="A25" s="20" t="s">
        <v>26</v>
      </c>
      <c r="B25" s="16">
        <v>3220</v>
      </c>
      <c r="C25" s="16">
        <f t="shared" si="2"/>
        <v>641</v>
      </c>
      <c r="D25" s="16">
        <v>340</v>
      </c>
      <c r="E25" s="16">
        <v>242</v>
      </c>
      <c r="F25" s="16">
        <v>48</v>
      </c>
      <c r="G25" s="16">
        <v>11</v>
      </c>
      <c r="H25" s="17">
        <v>1.5819032761310452</v>
      </c>
      <c r="I25" s="16">
        <v>529</v>
      </c>
      <c r="J25" s="16">
        <v>112</v>
      </c>
      <c r="K25" s="21">
        <f t="shared" si="0"/>
        <v>17.472698907956318</v>
      </c>
    </row>
    <row r="26" spans="1:11" ht="12" customHeight="1" x14ac:dyDescent="0.2">
      <c r="A26" s="20" t="s">
        <v>27</v>
      </c>
      <c r="B26" s="16">
        <v>3910</v>
      </c>
      <c r="C26" s="16">
        <f t="shared" si="2"/>
        <v>829</v>
      </c>
      <c r="D26" s="16">
        <v>387</v>
      </c>
      <c r="E26" s="16">
        <v>344</v>
      </c>
      <c r="F26" s="16">
        <v>76</v>
      </c>
      <c r="G26" s="16">
        <v>22</v>
      </c>
      <c r="H26" s="17">
        <v>1.6791314837153197</v>
      </c>
      <c r="I26" s="16">
        <v>705</v>
      </c>
      <c r="J26" s="16">
        <v>124</v>
      </c>
      <c r="K26" s="21">
        <f t="shared" si="0"/>
        <v>14.957780458383596</v>
      </c>
    </row>
    <row r="27" spans="1:11" ht="12" customHeight="1" x14ac:dyDescent="0.2">
      <c r="A27" s="20" t="s">
        <v>28</v>
      </c>
      <c r="B27" s="16">
        <v>6532</v>
      </c>
      <c r="C27" s="16">
        <f t="shared" si="2"/>
        <v>1202</v>
      </c>
      <c r="D27" s="16">
        <v>614</v>
      </c>
      <c r="E27" s="16">
        <v>462</v>
      </c>
      <c r="F27" s="16">
        <v>105</v>
      </c>
      <c r="G27" s="16">
        <v>21</v>
      </c>
      <c r="H27" s="17">
        <v>1.6156405990016638</v>
      </c>
      <c r="I27" s="16">
        <v>991</v>
      </c>
      <c r="J27" s="16">
        <v>211</v>
      </c>
      <c r="K27" s="21">
        <f t="shared" ref="K27:K37" si="3">+J27/C27*100</f>
        <v>17.554076539101498</v>
      </c>
    </row>
    <row r="28" spans="1:11" ht="12" customHeight="1" x14ac:dyDescent="0.2">
      <c r="A28" s="20" t="s">
        <v>29</v>
      </c>
      <c r="B28" s="16">
        <v>11250</v>
      </c>
      <c r="C28" s="16">
        <f t="shared" si="2"/>
        <v>2303</v>
      </c>
      <c r="D28" s="16">
        <v>1077</v>
      </c>
      <c r="E28" s="16">
        <v>897</v>
      </c>
      <c r="F28" s="16">
        <v>255</v>
      </c>
      <c r="G28" s="16">
        <v>74</v>
      </c>
      <c r="H28" s="17">
        <v>1.7177594442032131</v>
      </c>
      <c r="I28" s="16">
        <v>1910</v>
      </c>
      <c r="J28" s="16">
        <v>393</v>
      </c>
      <c r="K28" s="21">
        <f t="shared" si="3"/>
        <v>17.064698219713417</v>
      </c>
    </row>
    <row r="29" spans="1:11" ht="12" customHeight="1" x14ac:dyDescent="0.2">
      <c r="A29" s="20" t="s">
        <v>30</v>
      </c>
      <c r="B29" s="16">
        <v>5335</v>
      </c>
      <c r="C29" s="16">
        <f t="shared" si="2"/>
        <v>1445</v>
      </c>
      <c r="D29" s="16">
        <v>693</v>
      </c>
      <c r="E29" s="16">
        <v>539</v>
      </c>
      <c r="F29" s="16">
        <v>163</v>
      </c>
      <c r="G29" s="16">
        <v>50</v>
      </c>
      <c r="H29" s="17">
        <v>1.7176470588235293</v>
      </c>
      <c r="I29" s="16">
        <v>1259</v>
      </c>
      <c r="J29" s="16">
        <v>186</v>
      </c>
      <c r="K29" s="21">
        <f t="shared" si="3"/>
        <v>12.8719723183391</v>
      </c>
    </row>
    <row r="30" spans="1:11" ht="12" customHeight="1" x14ac:dyDescent="0.2">
      <c r="A30" s="20" t="s">
        <v>31</v>
      </c>
      <c r="B30" s="16">
        <v>7854</v>
      </c>
      <c r="C30" s="16">
        <f t="shared" si="2"/>
        <v>1590</v>
      </c>
      <c r="D30" s="16">
        <v>823</v>
      </c>
      <c r="E30" s="16">
        <v>592</v>
      </c>
      <c r="F30" s="16">
        <v>144</v>
      </c>
      <c r="G30" s="16">
        <v>31</v>
      </c>
      <c r="H30" s="17">
        <v>1.6138364779874215</v>
      </c>
      <c r="I30" s="16">
        <v>1312</v>
      </c>
      <c r="J30" s="16">
        <v>278</v>
      </c>
      <c r="K30" s="21">
        <f t="shared" si="3"/>
        <v>17.484276729559749</v>
      </c>
    </row>
    <row r="31" spans="1:11" ht="12" customHeight="1" x14ac:dyDescent="0.2">
      <c r="A31" s="20" t="s">
        <v>32</v>
      </c>
      <c r="B31" s="16">
        <v>21917</v>
      </c>
      <c r="C31" s="16">
        <f t="shared" si="2"/>
        <v>3798</v>
      </c>
      <c r="D31" s="16">
        <v>1920</v>
      </c>
      <c r="E31" s="16">
        <v>1408</v>
      </c>
      <c r="F31" s="16">
        <v>365</v>
      </c>
      <c r="G31" s="16">
        <v>105</v>
      </c>
      <c r="H31" s="17">
        <v>1.6577145866245393</v>
      </c>
      <c r="I31" s="16">
        <v>3130</v>
      </c>
      <c r="J31" s="16">
        <v>668</v>
      </c>
      <c r="K31" s="21">
        <f t="shared" si="3"/>
        <v>17.588204318062136</v>
      </c>
    </row>
    <row r="32" spans="1:11" ht="12" customHeight="1" x14ac:dyDescent="0.2">
      <c r="A32" s="20" t="s">
        <v>33</v>
      </c>
      <c r="B32" s="16">
        <v>4519</v>
      </c>
      <c r="C32" s="16">
        <f t="shared" si="2"/>
        <v>860</v>
      </c>
      <c r="D32" s="16">
        <v>434</v>
      </c>
      <c r="E32" s="16">
        <v>345</v>
      </c>
      <c r="F32" s="16">
        <v>66</v>
      </c>
      <c r="G32" s="16">
        <v>15</v>
      </c>
      <c r="H32" s="17">
        <v>1.6186046511627907</v>
      </c>
      <c r="I32" s="16">
        <v>716</v>
      </c>
      <c r="J32" s="16">
        <v>144</v>
      </c>
      <c r="K32" s="21">
        <f t="shared" si="3"/>
        <v>16.744186046511629</v>
      </c>
    </row>
    <row r="33" spans="1:11" ht="12" customHeight="1" x14ac:dyDescent="0.2">
      <c r="A33" s="20" t="s">
        <v>34</v>
      </c>
      <c r="B33" s="16">
        <v>13343</v>
      </c>
      <c r="C33" s="16">
        <f t="shared" si="2"/>
        <v>3211</v>
      </c>
      <c r="D33" s="16">
        <v>1518</v>
      </c>
      <c r="E33" s="16">
        <v>1248</v>
      </c>
      <c r="F33" s="16">
        <v>362</v>
      </c>
      <c r="G33" s="16">
        <v>83</v>
      </c>
      <c r="H33" s="17">
        <v>1.6960448458424167</v>
      </c>
      <c r="I33" s="16">
        <v>2717</v>
      </c>
      <c r="J33" s="16">
        <v>494</v>
      </c>
      <c r="K33" s="21">
        <f t="shared" si="3"/>
        <v>15.384615384615385</v>
      </c>
    </row>
    <row r="34" spans="1:11" ht="12" customHeight="1" x14ac:dyDescent="0.2">
      <c r="A34" s="20" t="s">
        <v>35</v>
      </c>
      <c r="B34" s="16">
        <v>16992</v>
      </c>
      <c r="C34" s="16">
        <f t="shared" si="2"/>
        <v>3608</v>
      </c>
      <c r="D34" s="16">
        <v>1892</v>
      </c>
      <c r="E34" s="16">
        <v>1269</v>
      </c>
      <c r="F34" s="16">
        <v>342</v>
      </c>
      <c r="G34" s="16">
        <v>105</v>
      </c>
      <c r="H34" s="17">
        <v>1.6369179600886918</v>
      </c>
      <c r="I34" s="16">
        <v>2937</v>
      </c>
      <c r="J34" s="16">
        <v>671</v>
      </c>
      <c r="K34" s="21">
        <f t="shared" si="3"/>
        <v>18.597560975609756</v>
      </c>
    </row>
    <row r="35" spans="1:11" ht="12" customHeight="1" x14ac:dyDescent="0.2">
      <c r="A35" s="22" t="s">
        <v>36</v>
      </c>
      <c r="B35" s="16">
        <f>SUM(B17:B34)</f>
        <v>189557</v>
      </c>
      <c r="C35" s="16">
        <f t="shared" ref="C35:J35" si="4">SUM(C17:C34)</f>
        <v>38652</v>
      </c>
      <c r="D35" s="16">
        <f t="shared" si="4"/>
        <v>19200</v>
      </c>
      <c r="E35" s="16">
        <f t="shared" si="4"/>
        <v>14462</v>
      </c>
      <c r="F35" s="16">
        <f t="shared" si="4"/>
        <v>3898</v>
      </c>
      <c r="G35" s="16">
        <f t="shared" si="4"/>
        <v>1092</v>
      </c>
      <c r="H35" s="17">
        <v>1.6692797267929214</v>
      </c>
      <c r="I35" s="16">
        <f t="shared" si="4"/>
        <v>32075</v>
      </c>
      <c r="J35" s="16">
        <f t="shared" si="4"/>
        <v>6577</v>
      </c>
      <c r="K35" s="21">
        <f t="shared" si="3"/>
        <v>17.01593707958191</v>
      </c>
    </row>
    <row r="36" spans="1:11" ht="12" customHeight="1" x14ac:dyDescent="0.2">
      <c r="A36" s="9"/>
      <c r="B36" s="16"/>
      <c r="C36" s="16"/>
      <c r="D36" s="16"/>
      <c r="E36" s="16"/>
      <c r="F36" s="16"/>
      <c r="G36" s="16"/>
      <c r="H36" s="17"/>
      <c r="I36" s="16"/>
      <c r="J36" s="16"/>
      <c r="K36" s="21"/>
    </row>
    <row r="37" spans="1:11" ht="12" customHeight="1" x14ac:dyDescent="0.2">
      <c r="A37" s="22" t="s">
        <v>37</v>
      </c>
      <c r="B37" s="16">
        <f>B15+B35</f>
        <v>295071</v>
      </c>
      <c r="C37" s="16">
        <f>SUM(D37:G37)</f>
        <v>55481</v>
      </c>
      <c r="D37" s="16">
        <f t="shared" ref="D37:J37" si="5">D15+D35</f>
        <v>28461</v>
      </c>
      <c r="E37" s="16">
        <f t="shared" si="5"/>
        <v>20109</v>
      </c>
      <c r="F37" s="16">
        <f t="shared" si="5"/>
        <v>5381</v>
      </c>
      <c r="G37" s="16">
        <f t="shared" si="5"/>
        <v>1530</v>
      </c>
      <c r="H37" s="17">
        <v>1.6478434058506515</v>
      </c>
      <c r="I37" s="16">
        <f t="shared" si="5"/>
        <v>45288</v>
      </c>
      <c r="J37" s="16">
        <f t="shared" si="5"/>
        <v>10193</v>
      </c>
      <c r="K37" s="21">
        <f t="shared" si="3"/>
        <v>18.372055298210199</v>
      </c>
    </row>
    <row r="38" spans="1:11" ht="12" customHeight="1" x14ac:dyDescent="0.2">
      <c r="A38" s="23" t="s">
        <v>38</v>
      </c>
      <c r="B38" s="18"/>
      <c r="C38" s="15"/>
      <c r="D38" s="15"/>
      <c r="E38" s="15"/>
      <c r="F38" s="15"/>
      <c r="G38" s="24"/>
      <c r="H38" s="15"/>
      <c r="I38" s="15"/>
      <c r="J38" s="15"/>
      <c r="K38" s="15"/>
    </row>
    <row r="39" spans="1:11" ht="12" customHeight="1" x14ac:dyDescent="0.2">
      <c r="A39" s="19" t="s">
        <v>55</v>
      </c>
      <c r="B39" s="15"/>
      <c r="C39" s="15"/>
      <c r="D39" s="15"/>
      <c r="E39" s="15"/>
      <c r="F39" s="15"/>
      <c r="G39" s="24"/>
      <c r="H39" s="15"/>
      <c r="I39" s="15"/>
      <c r="J39" s="15"/>
      <c r="K39" s="15"/>
    </row>
    <row r="40" spans="1:11" ht="12" customHeight="1" x14ac:dyDescent="0.2"/>
    <row r="41" spans="1:11" ht="12" customHeight="1" x14ac:dyDescent="0.2"/>
    <row r="42" spans="1:11" ht="12" customHeight="1" x14ac:dyDescent="0.2"/>
    <row r="43" spans="1:11" ht="12" customHeight="1" x14ac:dyDescent="0.2"/>
    <row r="44" spans="1:11" ht="12" customHeight="1" x14ac:dyDescent="0.2"/>
    <row r="45" spans="1:11" ht="12" customHeight="1" x14ac:dyDescent="0.2"/>
    <row r="46" spans="1:11" ht="12" customHeight="1" x14ac:dyDescent="0.2"/>
    <row r="47" spans="1:11" ht="12" customHeight="1" x14ac:dyDescent="0.2"/>
    <row r="48" spans="1:11" ht="12" customHeight="1" x14ac:dyDescent="0.2"/>
    <row r="49" s="2" customFormat="1" ht="11.25" x14ac:dyDescent="0.2"/>
    <row r="50" s="2" customFormat="1" ht="11.25" x14ac:dyDescent="0.2"/>
    <row r="51" ht="11.25" x14ac:dyDescent="0.2"/>
    <row r="52" ht="11.25" x14ac:dyDescent="0.2"/>
    <row r="67" spans="1:1" ht="12.75" customHeight="1" x14ac:dyDescent="0.2">
      <c r="A67" s="2"/>
    </row>
  </sheetData>
  <mergeCells count="4">
    <mergeCell ref="A6:A8"/>
    <mergeCell ref="B6:B8"/>
    <mergeCell ref="C7:C8"/>
    <mergeCell ref="I7:I8"/>
  </mergeCells>
  <phoneticPr fontId="0" type="noConversion"/>
  <pageMargins left="0.59055118110236227" right="0.59055118110236227" top="0.59055118110236227" bottom="0.59055118110236227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2"/>
  <dimension ref="A1:K67"/>
  <sheetViews>
    <sheetView workbookViewId="0">
      <selection activeCell="M1" sqref="M1:N65536"/>
    </sheetView>
  </sheetViews>
  <sheetFormatPr baseColWidth="10" defaultColWidth="9.83203125" defaultRowHeight="12.75" customHeight="1" x14ac:dyDescent="0.2"/>
  <cols>
    <col min="1" max="1" width="20.83203125" customWidth="1"/>
    <col min="2" max="4" width="9.6640625" customWidth="1"/>
    <col min="5" max="9" width="9" customWidth="1"/>
    <col min="10" max="10" width="9.6640625" customWidth="1"/>
    <col min="11" max="11" width="10" customWidth="1"/>
  </cols>
  <sheetData>
    <row r="1" spans="1:11" ht="12.75" customHeight="1" x14ac:dyDescent="0.2">
      <c r="A1" s="3" t="s">
        <v>52</v>
      </c>
      <c r="B1" s="3"/>
      <c r="C1" s="3"/>
      <c r="D1" s="3"/>
      <c r="E1" s="3"/>
      <c r="F1" s="3"/>
      <c r="G1" s="3"/>
      <c r="H1" s="1"/>
      <c r="I1" s="1"/>
      <c r="J1" s="1"/>
      <c r="K1" s="1"/>
    </row>
    <row r="3" spans="1:11" ht="12" customHeight="1" x14ac:dyDescent="0.2">
      <c r="A3" s="25" t="s">
        <v>62</v>
      </c>
      <c r="B3" s="26"/>
      <c r="C3" s="26"/>
      <c r="D3" s="26"/>
      <c r="E3" s="26"/>
      <c r="F3" s="26"/>
      <c r="G3" s="26"/>
      <c r="H3" s="26"/>
      <c r="I3" s="26"/>
      <c r="J3" s="26"/>
      <c r="K3" s="26"/>
    </row>
    <row r="4" spans="1:11" ht="12" customHeight="1" x14ac:dyDescent="0.2">
      <c r="A4" s="25" t="s">
        <v>0</v>
      </c>
      <c r="B4" s="26"/>
      <c r="C4" s="26"/>
      <c r="D4" s="26"/>
      <c r="E4" s="26"/>
      <c r="F4" s="26"/>
      <c r="G4" s="26"/>
      <c r="H4" s="26"/>
      <c r="I4" s="26"/>
      <c r="J4" s="26"/>
      <c r="K4" s="26"/>
    </row>
    <row r="5" spans="1:11" ht="12" customHeight="1" x14ac:dyDescent="0.2">
      <c r="A5" s="4"/>
      <c r="B5" s="5"/>
      <c r="C5" s="5"/>
      <c r="D5" s="5"/>
      <c r="E5" s="5"/>
      <c r="F5" s="5"/>
      <c r="G5" s="5"/>
      <c r="H5" s="5"/>
      <c r="I5" s="5"/>
      <c r="J5" s="5"/>
      <c r="K5" s="5"/>
    </row>
    <row r="6" spans="1:11" ht="12" customHeight="1" x14ac:dyDescent="0.2">
      <c r="A6" s="193" t="s">
        <v>2</v>
      </c>
      <c r="B6" s="190" t="s">
        <v>86</v>
      </c>
      <c r="C6" s="6" t="s">
        <v>1</v>
      </c>
      <c r="D6" s="6"/>
      <c r="E6" s="6"/>
      <c r="F6" s="6"/>
      <c r="G6" s="6"/>
      <c r="H6" s="6"/>
      <c r="I6" s="6"/>
      <c r="J6" s="6"/>
      <c r="K6" s="6"/>
    </row>
    <row r="7" spans="1:11" ht="12" customHeight="1" x14ac:dyDescent="0.2">
      <c r="A7" s="194"/>
      <c r="B7" s="176"/>
      <c r="C7" s="191" t="s">
        <v>3</v>
      </c>
      <c r="D7" s="6" t="s">
        <v>4</v>
      </c>
      <c r="E7" s="6"/>
      <c r="F7" s="6"/>
      <c r="G7" s="6"/>
      <c r="H7" s="7" t="s">
        <v>5</v>
      </c>
      <c r="I7" s="191" t="s">
        <v>6</v>
      </c>
      <c r="J7" s="8" t="s">
        <v>7</v>
      </c>
      <c r="K7" s="6"/>
    </row>
    <row r="8" spans="1:11" ht="12" customHeight="1" x14ac:dyDescent="0.2">
      <c r="A8" s="195"/>
      <c r="B8" s="177"/>
      <c r="C8" s="179"/>
      <c r="D8" s="85">
        <v>1</v>
      </c>
      <c r="E8" s="86">
        <v>2</v>
      </c>
      <c r="F8" s="11">
        <v>3</v>
      </c>
      <c r="G8" s="12" t="s">
        <v>8</v>
      </c>
      <c r="H8" s="13" t="s">
        <v>9</v>
      </c>
      <c r="I8" s="179"/>
      <c r="J8" s="10" t="s">
        <v>10</v>
      </c>
      <c r="K8" s="14" t="s">
        <v>11</v>
      </c>
    </row>
    <row r="9" spans="1:11" ht="12" customHeight="1" x14ac:dyDescent="0.2">
      <c r="A9" s="9"/>
      <c r="B9" s="15"/>
      <c r="C9" s="15"/>
      <c r="D9" s="15"/>
      <c r="E9" s="15"/>
      <c r="F9" s="15"/>
      <c r="G9" s="15"/>
      <c r="H9" s="15"/>
      <c r="I9" s="15"/>
      <c r="J9" s="15"/>
      <c r="K9" s="15"/>
    </row>
    <row r="10" spans="1:11" ht="12" customHeight="1" x14ac:dyDescent="0.2">
      <c r="A10" s="20" t="s">
        <v>12</v>
      </c>
      <c r="B10" s="16">
        <v>13541</v>
      </c>
      <c r="C10" s="16">
        <f>SUM(D10:G10)</f>
        <v>1802</v>
      </c>
      <c r="D10" s="16">
        <v>1029</v>
      </c>
      <c r="E10" s="16">
        <v>561</v>
      </c>
      <c r="F10" s="16">
        <v>151</v>
      </c>
      <c r="G10" s="16">
        <v>61</v>
      </c>
      <c r="H10" s="17">
        <v>1.5965593784683685</v>
      </c>
      <c r="I10" s="16">
        <v>1403</v>
      </c>
      <c r="J10" s="16">
        <v>399</v>
      </c>
      <c r="K10" s="21">
        <f t="shared" ref="K10:K15" si="0">+J10/C10*100</f>
        <v>22.142064372918981</v>
      </c>
    </row>
    <row r="11" spans="1:11" ht="12" customHeight="1" x14ac:dyDescent="0.2">
      <c r="A11" s="20" t="s">
        <v>13</v>
      </c>
      <c r="B11" s="16">
        <v>13239</v>
      </c>
      <c r="C11" s="16">
        <f>SUM(D11:G11)</f>
        <v>2226</v>
      </c>
      <c r="D11" s="16">
        <v>1203</v>
      </c>
      <c r="E11" s="16">
        <v>730</v>
      </c>
      <c r="F11" s="16">
        <v>211</v>
      </c>
      <c r="G11" s="16">
        <v>82</v>
      </c>
      <c r="H11" s="17">
        <v>1.6374663072776281</v>
      </c>
      <c r="I11" s="16">
        <v>1819</v>
      </c>
      <c r="J11" s="16">
        <v>407</v>
      </c>
      <c r="K11" s="21">
        <f t="shared" si="0"/>
        <v>18.283917340521114</v>
      </c>
    </row>
    <row r="12" spans="1:11" ht="12" customHeight="1" x14ac:dyDescent="0.2">
      <c r="A12" s="20" t="s">
        <v>14</v>
      </c>
      <c r="B12" s="16">
        <v>26058</v>
      </c>
      <c r="C12" s="16">
        <f>SUM(D12:G12)</f>
        <v>4912</v>
      </c>
      <c r="D12" s="16">
        <v>2718</v>
      </c>
      <c r="E12" s="16">
        <v>1655</v>
      </c>
      <c r="F12" s="16">
        <v>443</v>
      </c>
      <c r="G12" s="16">
        <v>96</v>
      </c>
      <c r="H12" s="17">
        <v>1.5826547231270358</v>
      </c>
      <c r="I12" s="16">
        <v>3845</v>
      </c>
      <c r="J12" s="16">
        <v>1067</v>
      </c>
      <c r="K12" s="21">
        <f t="shared" si="0"/>
        <v>21.722312703583064</v>
      </c>
    </row>
    <row r="13" spans="1:11" ht="12" customHeight="1" x14ac:dyDescent="0.2">
      <c r="A13" s="20" t="s">
        <v>15</v>
      </c>
      <c r="B13" s="16">
        <v>24010</v>
      </c>
      <c r="C13" s="16">
        <f>SUM(D13:G13)</f>
        <v>3861</v>
      </c>
      <c r="D13" s="16">
        <v>2081</v>
      </c>
      <c r="E13" s="16">
        <v>1305</v>
      </c>
      <c r="F13" s="16">
        <v>372</v>
      </c>
      <c r="G13" s="16">
        <v>103</v>
      </c>
      <c r="H13" s="17">
        <v>1.6192696192696192</v>
      </c>
      <c r="I13" s="16">
        <v>3080</v>
      </c>
      <c r="J13" s="16">
        <v>781</v>
      </c>
      <c r="K13" s="21">
        <f t="shared" si="0"/>
        <v>20.227920227920229</v>
      </c>
    </row>
    <row r="14" spans="1:11" ht="12" customHeight="1" x14ac:dyDescent="0.2">
      <c r="A14" s="20" t="s">
        <v>16</v>
      </c>
      <c r="B14" s="16">
        <v>29293</v>
      </c>
      <c r="C14" s="16">
        <f>SUM(D14:G14)</f>
        <v>4424</v>
      </c>
      <c r="D14" s="16">
        <v>2534</v>
      </c>
      <c r="E14" s="16">
        <v>1455</v>
      </c>
      <c r="F14" s="16">
        <v>344</v>
      </c>
      <c r="G14" s="16">
        <v>91</v>
      </c>
      <c r="H14" s="17">
        <v>1.5506329113924051</v>
      </c>
      <c r="I14" s="16">
        <v>3439</v>
      </c>
      <c r="J14" s="16">
        <v>985</v>
      </c>
      <c r="K14" s="21">
        <f t="shared" si="0"/>
        <v>22.264918625678121</v>
      </c>
    </row>
    <row r="15" spans="1:11" ht="12" customHeight="1" x14ac:dyDescent="0.2">
      <c r="A15" s="22" t="s">
        <v>17</v>
      </c>
      <c r="B15" s="16">
        <f t="shared" ref="B15:J15" si="1">SUM(B10:B14)</f>
        <v>106141</v>
      </c>
      <c r="C15" s="16">
        <f t="shared" si="1"/>
        <v>17225</v>
      </c>
      <c r="D15" s="16">
        <f t="shared" si="1"/>
        <v>9565</v>
      </c>
      <c r="E15" s="16">
        <f t="shared" si="1"/>
        <v>5706</v>
      </c>
      <c r="F15" s="16">
        <f t="shared" si="1"/>
        <v>1521</v>
      </c>
      <c r="G15" s="16">
        <f t="shared" si="1"/>
        <v>433</v>
      </c>
      <c r="H15" s="17">
        <v>1.5911756168359943</v>
      </c>
      <c r="I15" s="16">
        <f t="shared" si="1"/>
        <v>13586</v>
      </c>
      <c r="J15" s="16">
        <f t="shared" si="1"/>
        <v>3639</v>
      </c>
      <c r="K15" s="21">
        <f t="shared" si="0"/>
        <v>21.126269956458636</v>
      </c>
    </row>
    <row r="16" spans="1:11" ht="12" customHeight="1" x14ac:dyDescent="0.2">
      <c r="A16" s="9"/>
      <c r="B16" s="16"/>
      <c r="C16" s="16"/>
      <c r="D16" s="16"/>
      <c r="E16" s="16"/>
      <c r="F16" s="16"/>
      <c r="G16" s="16"/>
      <c r="H16" s="17"/>
      <c r="I16" s="16"/>
      <c r="J16" s="16"/>
      <c r="K16" s="21"/>
    </row>
    <row r="17" spans="1:11" ht="12" customHeight="1" x14ac:dyDescent="0.2">
      <c r="A17" s="20" t="s">
        <v>18</v>
      </c>
      <c r="B17" s="16">
        <v>31343</v>
      </c>
      <c r="C17" s="16">
        <f>SUM(D17:G17)</f>
        <v>6717</v>
      </c>
      <c r="D17" s="16">
        <v>3431</v>
      </c>
      <c r="E17" s="16">
        <v>2372</v>
      </c>
      <c r="F17" s="16">
        <v>707</v>
      </c>
      <c r="G17" s="16">
        <v>207</v>
      </c>
      <c r="H17" s="17">
        <v>1.6663689146940599</v>
      </c>
      <c r="I17" s="16">
        <v>5534</v>
      </c>
      <c r="J17" s="16">
        <v>1183</v>
      </c>
      <c r="K17" s="21">
        <f t="shared" ref="K17:K35" si="2">+J17/C17*100</f>
        <v>17.612029179693316</v>
      </c>
    </row>
    <row r="18" spans="1:11" ht="12" customHeight="1" x14ac:dyDescent="0.2">
      <c r="A18" s="20" t="s">
        <v>19</v>
      </c>
      <c r="B18" s="16">
        <v>3186</v>
      </c>
      <c r="C18" s="16">
        <f t="shared" ref="C18:C33" si="3">SUM(D18:G18)</f>
        <v>585</v>
      </c>
      <c r="D18" s="16">
        <v>308</v>
      </c>
      <c r="E18" s="16">
        <v>201</v>
      </c>
      <c r="F18" s="16">
        <v>61</v>
      </c>
      <c r="G18" s="16">
        <v>15</v>
      </c>
      <c r="H18" s="17">
        <v>1.6393162393162393</v>
      </c>
      <c r="I18" s="16">
        <v>491</v>
      </c>
      <c r="J18" s="16">
        <v>94</v>
      </c>
      <c r="K18" s="21">
        <f t="shared" si="2"/>
        <v>16.068376068376068</v>
      </c>
    </row>
    <row r="19" spans="1:11" ht="12" customHeight="1" x14ac:dyDescent="0.2">
      <c r="A19" s="20" t="s">
        <v>20</v>
      </c>
      <c r="B19" s="16">
        <v>6602</v>
      </c>
      <c r="C19" s="16">
        <f t="shared" si="3"/>
        <v>1206</v>
      </c>
      <c r="D19" s="16">
        <v>612</v>
      </c>
      <c r="E19" s="16">
        <v>432</v>
      </c>
      <c r="F19" s="16">
        <v>130</v>
      </c>
      <c r="G19" s="16">
        <v>32</v>
      </c>
      <c r="H19" s="17">
        <v>1.6600331674958542</v>
      </c>
      <c r="I19" s="16">
        <v>1017</v>
      </c>
      <c r="J19" s="16">
        <v>189</v>
      </c>
      <c r="K19" s="21">
        <f t="shared" si="2"/>
        <v>15.671641791044777</v>
      </c>
    </row>
    <row r="20" spans="1:11" ht="12" customHeight="1" x14ac:dyDescent="0.2">
      <c r="A20" s="20" t="s">
        <v>21</v>
      </c>
      <c r="B20" s="16">
        <v>8740</v>
      </c>
      <c r="C20" s="16">
        <f t="shared" si="3"/>
        <v>1525</v>
      </c>
      <c r="D20" s="16">
        <v>735</v>
      </c>
      <c r="E20" s="16">
        <v>614</v>
      </c>
      <c r="F20" s="16">
        <v>135</v>
      </c>
      <c r="G20" s="16">
        <v>41</v>
      </c>
      <c r="H20" s="17">
        <v>1.6708196721311475</v>
      </c>
      <c r="I20" s="16">
        <v>1269</v>
      </c>
      <c r="J20" s="16">
        <v>256</v>
      </c>
      <c r="K20" s="21">
        <f t="shared" si="2"/>
        <v>16.78688524590164</v>
      </c>
    </row>
    <row r="21" spans="1:11" ht="12" customHeight="1" x14ac:dyDescent="0.2">
      <c r="A21" s="20" t="s">
        <v>22</v>
      </c>
      <c r="B21" s="16">
        <v>13933</v>
      </c>
      <c r="C21" s="16">
        <f t="shared" si="3"/>
        <v>2576</v>
      </c>
      <c r="D21" s="16">
        <v>1360</v>
      </c>
      <c r="E21" s="16">
        <v>903</v>
      </c>
      <c r="F21" s="16">
        <v>244</v>
      </c>
      <c r="G21" s="16">
        <v>69</v>
      </c>
      <c r="H21" s="17">
        <v>1.625</v>
      </c>
      <c r="I21" s="16">
        <v>2152</v>
      </c>
      <c r="J21" s="16">
        <v>424</v>
      </c>
      <c r="K21" s="21">
        <f t="shared" si="2"/>
        <v>16.459627329192546</v>
      </c>
    </row>
    <row r="22" spans="1:11" ht="12" customHeight="1" x14ac:dyDescent="0.2">
      <c r="A22" s="20" t="s">
        <v>23</v>
      </c>
      <c r="B22" s="16">
        <v>4553</v>
      </c>
      <c r="C22" s="16">
        <f t="shared" si="3"/>
        <v>1027</v>
      </c>
      <c r="D22" s="16">
        <v>526</v>
      </c>
      <c r="E22" s="16">
        <v>369</v>
      </c>
      <c r="F22" s="16">
        <v>106</v>
      </c>
      <c r="G22" s="16">
        <v>26</v>
      </c>
      <c r="H22" s="17">
        <v>1.6484907497565726</v>
      </c>
      <c r="I22" s="16">
        <v>862</v>
      </c>
      <c r="J22" s="16">
        <v>165</v>
      </c>
      <c r="K22" s="21">
        <f t="shared" si="2"/>
        <v>16.066212268743914</v>
      </c>
    </row>
    <row r="23" spans="1:11" ht="12" customHeight="1" x14ac:dyDescent="0.2">
      <c r="A23" s="20" t="s">
        <v>24</v>
      </c>
      <c r="B23" s="16">
        <v>14680</v>
      </c>
      <c r="C23" s="16">
        <f t="shared" si="3"/>
        <v>2747</v>
      </c>
      <c r="D23" s="16">
        <v>1366</v>
      </c>
      <c r="E23" s="16">
        <v>1042</v>
      </c>
      <c r="F23" s="16">
        <v>259</v>
      </c>
      <c r="G23" s="16">
        <v>80</v>
      </c>
      <c r="H23" s="17">
        <v>1.6661812886785585</v>
      </c>
      <c r="I23" s="16">
        <v>2272</v>
      </c>
      <c r="J23" s="16">
        <v>475</v>
      </c>
      <c r="K23" s="21">
        <f t="shared" si="2"/>
        <v>17.291590826356025</v>
      </c>
    </row>
    <row r="24" spans="1:11" ht="12" customHeight="1" x14ac:dyDescent="0.2">
      <c r="A24" s="20" t="s">
        <v>25</v>
      </c>
      <c r="B24" s="16">
        <v>11766</v>
      </c>
      <c r="C24" s="16">
        <f t="shared" si="3"/>
        <v>2886</v>
      </c>
      <c r="D24" s="16">
        <v>1392</v>
      </c>
      <c r="E24" s="16">
        <v>1095</v>
      </c>
      <c r="F24" s="16">
        <v>297</v>
      </c>
      <c r="G24" s="16">
        <v>102</v>
      </c>
      <c r="H24" s="17">
        <v>1.7013167013167012</v>
      </c>
      <c r="I24" s="16">
        <v>2419</v>
      </c>
      <c r="J24" s="16">
        <v>467</v>
      </c>
      <c r="K24" s="21">
        <f t="shared" si="2"/>
        <v>16.181566181566183</v>
      </c>
    </row>
    <row r="25" spans="1:11" ht="12" customHeight="1" x14ac:dyDescent="0.2">
      <c r="A25" s="20" t="s">
        <v>26</v>
      </c>
      <c r="B25" s="16">
        <v>3252</v>
      </c>
      <c r="C25" s="16">
        <f t="shared" si="3"/>
        <v>625</v>
      </c>
      <c r="D25" s="16">
        <v>341</v>
      </c>
      <c r="E25" s="16">
        <v>224</v>
      </c>
      <c r="F25" s="16">
        <v>49</v>
      </c>
      <c r="G25" s="16">
        <v>11</v>
      </c>
      <c r="H25" s="17">
        <v>1.5711999999999999</v>
      </c>
      <c r="I25" s="16">
        <v>519</v>
      </c>
      <c r="J25" s="16">
        <v>106</v>
      </c>
      <c r="K25" s="21">
        <f t="shared" si="2"/>
        <v>16.96</v>
      </c>
    </row>
    <row r="26" spans="1:11" ht="12" customHeight="1" x14ac:dyDescent="0.2">
      <c r="A26" s="20" t="s">
        <v>27</v>
      </c>
      <c r="B26" s="16">
        <v>3981</v>
      </c>
      <c r="C26" s="16">
        <f t="shared" si="3"/>
        <v>844</v>
      </c>
      <c r="D26" s="16">
        <v>404</v>
      </c>
      <c r="E26" s="16">
        <v>334</v>
      </c>
      <c r="F26" s="16">
        <v>85</v>
      </c>
      <c r="G26" s="16">
        <v>21</v>
      </c>
      <c r="H26" s="17">
        <v>1.6741706161137442</v>
      </c>
      <c r="I26" s="16">
        <v>703</v>
      </c>
      <c r="J26" s="16">
        <v>141</v>
      </c>
      <c r="K26" s="21">
        <f t="shared" si="2"/>
        <v>16.706161137440759</v>
      </c>
    </row>
    <row r="27" spans="1:11" ht="12" customHeight="1" x14ac:dyDescent="0.2">
      <c r="A27" s="20" t="s">
        <v>28</v>
      </c>
      <c r="B27" s="16">
        <v>6400</v>
      </c>
      <c r="C27" s="16">
        <f t="shared" si="3"/>
        <v>1165</v>
      </c>
      <c r="D27" s="16">
        <v>611</v>
      </c>
      <c r="E27" s="16">
        <v>422</v>
      </c>
      <c r="F27" s="16">
        <v>110</v>
      </c>
      <c r="G27" s="16">
        <v>22</v>
      </c>
      <c r="H27" s="17">
        <v>1.609442060085837</v>
      </c>
      <c r="I27" s="16">
        <v>967</v>
      </c>
      <c r="J27" s="16">
        <v>198</v>
      </c>
      <c r="K27" s="21">
        <f t="shared" si="2"/>
        <v>16.995708154506435</v>
      </c>
    </row>
    <row r="28" spans="1:11" ht="12" customHeight="1" x14ac:dyDescent="0.2">
      <c r="A28" s="20" t="s">
        <v>29</v>
      </c>
      <c r="B28" s="16">
        <v>11218</v>
      </c>
      <c r="C28" s="16">
        <f t="shared" si="3"/>
        <v>2303</v>
      </c>
      <c r="D28" s="16">
        <v>1081</v>
      </c>
      <c r="E28" s="16">
        <v>896</v>
      </c>
      <c r="F28" s="16">
        <v>256</v>
      </c>
      <c r="G28" s="16">
        <v>70</v>
      </c>
      <c r="H28" s="17">
        <v>1.7138514980460269</v>
      </c>
      <c r="I28" s="16">
        <v>1930</v>
      </c>
      <c r="J28" s="16">
        <v>373</v>
      </c>
      <c r="K28" s="21">
        <f t="shared" si="2"/>
        <v>16.196265740338688</v>
      </c>
    </row>
    <row r="29" spans="1:11" ht="12" customHeight="1" x14ac:dyDescent="0.2">
      <c r="A29" s="20" t="s">
        <v>30</v>
      </c>
      <c r="B29" s="16">
        <v>5294</v>
      </c>
      <c r="C29" s="16">
        <f t="shared" si="3"/>
        <v>1382</v>
      </c>
      <c r="D29" s="16">
        <v>637</v>
      </c>
      <c r="E29" s="16">
        <v>539</v>
      </c>
      <c r="F29" s="16">
        <v>156</v>
      </c>
      <c r="G29" s="16">
        <v>50</v>
      </c>
      <c r="H29" s="17">
        <v>1.7366136034732271</v>
      </c>
      <c r="I29" s="16">
        <v>1192</v>
      </c>
      <c r="J29" s="16">
        <v>190</v>
      </c>
      <c r="K29" s="21">
        <f t="shared" si="2"/>
        <v>13.748191027496382</v>
      </c>
    </row>
    <row r="30" spans="1:11" ht="12" customHeight="1" x14ac:dyDescent="0.2">
      <c r="A30" s="20" t="s">
        <v>31</v>
      </c>
      <c r="B30" s="16">
        <v>7856</v>
      </c>
      <c r="C30" s="16">
        <f t="shared" si="3"/>
        <v>1615</v>
      </c>
      <c r="D30" s="16">
        <v>849</v>
      </c>
      <c r="E30" s="16">
        <v>583</v>
      </c>
      <c r="F30" s="16">
        <v>152</v>
      </c>
      <c r="G30" s="16">
        <v>31</v>
      </c>
      <c r="H30" s="17">
        <v>1.6111455108359134</v>
      </c>
      <c r="I30" s="16">
        <v>1356</v>
      </c>
      <c r="J30" s="16">
        <v>259</v>
      </c>
      <c r="K30" s="21">
        <f t="shared" si="2"/>
        <v>16.037151702786378</v>
      </c>
    </row>
    <row r="31" spans="1:11" ht="12" customHeight="1" x14ac:dyDescent="0.2">
      <c r="A31" s="20" t="s">
        <v>32</v>
      </c>
      <c r="B31" s="16">
        <v>21543</v>
      </c>
      <c r="C31" s="16">
        <f t="shared" si="3"/>
        <v>3826</v>
      </c>
      <c r="D31" s="16">
        <v>1933</v>
      </c>
      <c r="E31" s="16">
        <v>1417</v>
      </c>
      <c r="F31" s="16">
        <v>360</v>
      </c>
      <c r="G31" s="16">
        <v>116</v>
      </c>
      <c r="H31" s="17">
        <v>1.6628332462101412</v>
      </c>
      <c r="I31" s="16">
        <v>3206</v>
      </c>
      <c r="J31" s="16">
        <v>620</v>
      </c>
      <c r="K31" s="21">
        <f t="shared" si="2"/>
        <v>16.204913748039729</v>
      </c>
    </row>
    <row r="32" spans="1:11" ht="12" customHeight="1" x14ac:dyDescent="0.2">
      <c r="A32" s="20" t="s">
        <v>33</v>
      </c>
      <c r="B32" s="16">
        <v>4535</v>
      </c>
      <c r="C32" s="16">
        <f t="shared" si="3"/>
        <v>926</v>
      </c>
      <c r="D32" s="16">
        <v>487</v>
      </c>
      <c r="E32" s="16">
        <v>351</v>
      </c>
      <c r="F32" s="16">
        <v>76</v>
      </c>
      <c r="G32" s="16">
        <v>12</v>
      </c>
      <c r="H32" s="17">
        <v>1.5928725701943844</v>
      </c>
      <c r="I32" s="16">
        <v>768</v>
      </c>
      <c r="J32" s="16">
        <v>158</v>
      </c>
      <c r="K32" s="21">
        <f t="shared" si="2"/>
        <v>17.062634989200866</v>
      </c>
    </row>
    <row r="33" spans="1:11" ht="12" customHeight="1" x14ac:dyDescent="0.2">
      <c r="A33" s="20" t="s">
        <v>34</v>
      </c>
      <c r="B33" s="16">
        <v>13309</v>
      </c>
      <c r="C33" s="16">
        <f t="shared" si="3"/>
        <v>3146</v>
      </c>
      <c r="D33" s="16">
        <v>1510</v>
      </c>
      <c r="E33" s="16">
        <v>1198</v>
      </c>
      <c r="F33" s="16">
        <v>362</v>
      </c>
      <c r="G33" s="16">
        <v>76</v>
      </c>
      <c r="H33" s="17">
        <v>1.6875397329942785</v>
      </c>
      <c r="I33" s="16">
        <v>2672</v>
      </c>
      <c r="J33" s="16">
        <v>474</v>
      </c>
      <c r="K33" s="21">
        <f t="shared" si="2"/>
        <v>15.066751430387795</v>
      </c>
    </row>
    <row r="34" spans="1:11" ht="12" customHeight="1" x14ac:dyDescent="0.2">
      <c r="A34" s="20" t="s">
        <v>35</v>
      </c>
      <c r="B34" s="16">
        <v>17110</v>
      </c>
      <c r="C34" s="16">
        <f>SUM(D34:G34)</f>
        <v>3648</v>
      </c>
      <c r="D34" s="16">
        <v>1937</v>
      </c>
      <c r="E34" s="16">
        <v>1249</v>
      </c>
      <c r="F34" s="16">
        <v>353</v>
      </c>
      <c r="G34" s="16">
        <v>109</v>
      </c>
      <c r="H34" s="17">
        <v>1.6332236842105263</v>
      </c>
      <c r="I34" s="16">
        <v>3003</v>
      </c>
      <c r="J34" s="16">
        <v>645</v>
      </c>
      <c r="K34" s="21">
        <f t="shared" si="2"/>
        <v>17.680921052631579</v>
      </c>
    </row>
    <row r="35" spans="1:11" ht="12" customHeight="1" x14ac:dyDescent="0.2">
      <c r="A35" s="22" t="s">
        <v>36</v>
      </c>
      <c r="B35" s="16">
        <f t="shared" ref="B35:G35" si="4">SUM(B17:B34)</f>
        <v>189301</v>
      </c>
      <c r="C35" s="16">
        <f t="shared" si="4"/>
        <v>38749</v>
      </c>
      <c r="D35" s="16">
        <f t="shared" si="4"/>
        <v>19520</v>
      </c>
      <c r="E35" s="16">
        <f t="shared" si="4"/>
        <v>14241</v>
      </c>
      <c r="F35" s="16">
        <f t="shared" si="4"/>
        <v>3898</v>
      </c>
      <c r="G35" s="16">
        <f t="shared" si="4"/>
        <v>1090</v>
      </c>
      <c r="H35" s="17">
        <v>1.6617461095770214</v>
      </c>
      <c r="I35" s="16">
        <f>SUM(I17:I34)</f>
        <v>32332</v>
      </c>
      <c r="J35" s="16">
        <f>SUM(J17:J34)</f>
        <v>6417</v>
      </c>
      <c r="K35" s="21">
        <f t="shared" si="2"/>
        <v>16.560427365867504</v>
      </c>
    </row>
    <row r="36" spans="1:11" ht="12" customHeight="1" x14ac:dyDescent="0.2">
      <c r="A36" s="9"/>
      <c r="B36" s="16"/>
      <c r="C36" s="16"/>
      <c r="D36" s="16"/>
      <c r="E36" s="16"/>
      <c r="F36" s="16"/>
      <c r="G36" s="16"/>
      <c r="H36" s="17"/>
      <c r="I36" s="16"/>
      <c r="J36" s="16"/>
      <c r="K36" s="21"/>
    </row>
    <row r="37" spans="1:11" ht="12" customHeight="1" x14ac:dyDescent="0.2">
      <c r="A37" s="22" t="s">
        <v>37</v>
      </c>
      <c r="B37" s="16">
        <f>B15+B35</f>
        <v>295442</v>
      </c>
      <c r="C37" s="16">
        <f>SUM(D37:G37)</f>
        <v>55974</v>
      </c>
      <c r="D37" s="16">
        <f t="shared" ref="D37:J37" si="5">D15+D35</f>
        <v>29085</v>
      </c>
      <c r="E37" s="16">
        <f t="shared" si="5"/>
        <v>19947</v>
      </c>
      <c r="F37" s="16">
        <f t="shared" si="5"/>
        <v>5419</v>
      </c>
      <c r="G37" s="16">
        <f t="shared" si="5"/>
        <v>1523</v>
      </c>
      <c r="H37" s="17">
        <v>1.6400292993175403</v>
      </c>
      <c r="I37" s="16">
        <f t="shared" si="5"/>
        <v>45918</v>
      </c>
      <c r="J37" s="16">
        <f t="shared" si="5"/>
        <v>10056</v>
      </c>
      <c r="K37" s="21">
        <f>+J37/C37*100</f>
        <v>17.96548397470254</v>
      </c>
    </row>
    <row r="38" spans="1:11" ht="12" customHeight="1" x14ac:dyDescent="0.2">
      <c r="A38" s="23" t="s">
        <v>38</v>
      </c>
      <c r="B38" s="18"/>
      <c r="C38" s="15"/>
      <c r="D38" s="15"/>
      <c r="E38" s="15"/>
      <c r="F38" s="15"/>
      <c r="G38" s="24"/>
      <c r="H38" s="15"/>
      <c r="I38" s="15"/>
      <c r="J38" s="15"/>
      <c r="K38" s="15"/>
    </row>
    <row r="39" spans="1:11" ht="12" customHeight="1" x14ac:dyDescent="0.2">
      <c r="A39" s="19" t="s">
        <v>55</v>
      </c>
      <c r="B39" s="15"/>
      <c r="C39" s="15"/>
      <c r="D39" s="15"/>
      <c r="E39" s="15"/>
      <c r="F39" s="15"/>
      <c r="G39" s="24"/>
      <c r="H39" s="15"/>
      <c r="I39" s="15"/>
      <c r="J39" s="15"/>
      <c r="K39" s="15"/>
    </row>
    <row r="40" spans="1:11" ht="12" customHeight="1" x14ac:dyDescent="0.2"/>
    <row r="41" spans="1:11" ht="12" customHeight="1" x14ac:dyDescent="0.2"/>
    <row r="42" spans="1:11" ht="12" customHeight="1" x14ac:dyDescent="0.2"/>
    <row r="43" spans="1:11" ht="12" customHeight="1" x14ac:dyDescent="0.2"/>
    <row r="44" spans="1:11" ht="12" customHeight="1" x14ac:dyDescent="0.2"/>
    <row r="45" spans="1:11" ht="12" customHeight="1" x14ac:dyDescent="0.2"/>
    <row r="46" spans="1:11" ht="12" customHeight="1" x14ac:dyDescent="0.2"/>
    <row r="47" spans="1:11" ht="12" customHeight="1" x14ac:dyDescent="0.2"/>
    <row r="48" spans="1:11" ht="12" customHeight="1" x14ac:dyDescent="0.2"/>
    <row r="49" s="2" customFormat="1" ht="11.25" x14ac:dyDescent="0.2"/>
    <row r="50" s="2" customFormat="1" ht="11.25" x14ac:dyDescent="0.2"/>
    <row r="51" ht="11.25" x14ac:dyDescent="0.2"/>
    <row r="52" ht="11.25" x14ac:dyDescent="0.2"/>
    <row r="67" spans="1:1" ht="12.75" customHeight="1" x14ac:dyDescent="0.2">
      <c r="A67" s="2"/>
    </row>
  </sheetData>
  <mergeCells count="4">
    <mergeCell ref="A6:A8"/>
    <mergeCell ref="B6:B8"/>
    <mergeCell ref="I7:I8"/>
    <mergeCell ref="C7:C8"/>
  </mergeCells>
  <phoneticPr fontId="0" type="noConversion"/>
  <pageMargins left="0.59055118110236227" right="0.59055118110236227" top="0.59055118110236227" bottom="0.59055118110236227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workbookViewId="0">
      <selection activeCell="L32" sqref="L32"/>
    </sheetView>
  </sheetViews>
  <sheetFormatPr baseColWidth="10" defaultColWidth="9.83203125" defaultRowHeight="12.75" customHeight="1" x14ac:dyDescent="0.2"/>
  <cols>
    <col min="1" max="1" width="21.1640625" style="117" customWidth="1"/>
    <col min="2" max="2" width="10.5" style="117" customWidth="1"/>
    <col min="3" max="3" width="9.6640625" style="117" customWidth="1"/>
    <col min="4" max="4" width="9.1640625" style="117" customWidth="1"/>
    <col min="5" max="7" width="9" style="117" customWidth="1"/>
    <col min="8" max="8" width="8.83203125" style="117" customWidth="1"/>
    <col min="9" max="10" width="9" style="117" customWidth="1"/>
    <col min="11" max="11" width="11.5" style="117" bestFit="1" customWidth="1"/>
    <col min="12" max="16384" width="9.83203125" style="117"/>
  </cols>
  <sheetData>
    <row r="1" spans="1:11" ht="12.75" customHeight="1" x14ac:dyDescent="0.2">
      <c r="A1" s="49" t="s">
        <v>77</v>
      </c>
      <c r="B1" s="49"/>
      <c r="C1" s="49"/>
      <c r="D1" s="49"/>
      <c r="E1" s="49"/>
      <c r="F1" s="49"/>
      <c r="G1" s="49"/>
      <c r="H1" s="87"/>
      <c r="I1" s="87"/>
      <c r="J1" s="87"/>
      <c r="K1" s="87"/>
    </row>
    <row r="3" spans="1:11" ht="26.25" customHeight="1" x14ac:dyDescent="0.2">
      <c r="A3" s="135" t="s">
        <v>107</v>
      </c>
      <c r="B3" s="119"/>
      <c r="C3" s="119"/>
      <c r="D3" s="119"/>
      <c r="E3" s="119"/>
      <c r="F3" s="119"/>
      <c r="G3" s="119"/>
      <c r="H3" s="119"/>
      <c r="I3" s="119"/>
      <c r="J3" s="119"/>
      <c r="K3" s="119"/>
    </row>
    <row r="4" spans="1:11" ht="12.6" customHeight="1" x14ac:dyDescent="0.2">
      <c r="A4" s="121"/>
      <c r="B4" s="122"/>
      <c r="C4" s="122"/>
      <c r="D4" s="122"/>
      <c r="E4" s="122"/>
      <c r="F4" s="122"/>
      <c r="G4" s="122"/>
      <c r="H4" s="122"/>
      <c r="I4" s="122"/>
      <c r="J4" s="122"/>
      <c r="K4" s="122"/>
    </row>
    <row r="5" spans="1:11" ht="12.6" customHeight="1" thickBot="1" x14ac:dyDescent="0.25">
      <c r="A5" s="154" t="s">
        <v>2</v>
      </c>
      <c r="B5" s="156" t="s">
        <v>86</v>
      </c>
      <c r="C5" s="158" t="s">
        <v>74</v>
      </c>
      <c r="D5" s="158"/>
      <c r="E5" s="158"/>
      <c r="F5" s="158"/>
      <c r="G5" s="158"/>
      <c r="H5" s="158"/>
      <c r="I5" s="158"/>
      <c r="J5" s="158"/>
      <c r="K5" s="159"/>
    </row>
    <row r="6" spans="1:11" ht="12.6" customHeight="1" thickBot="1" x14ac:dyDescent="0.25">
      <c r="A6" s="155"/>
      <c r="B6" s="157"/>
      <c r="C6" s="160" t="s">
        <v>3</v>
      </c>
      <c r="D6" s="160" t="s">
        <v>4</v>
      </c>
      <c r="E6" s="160"/>
      <c r="F6" s="160"/>
      <c r="G6" s="160"/>
      <c r="H6" s="157" t="s">
        <v>75</v>
      </c>
      <c r="I6" s="160" t="s">
        <v>6</v>
      </c>
      <c r="J6" s="161" t="s">
        <v>7</v>
      </c>
      <c r="K6" s="162"/>
    </row>
    <row r="7" spans="1:11" ht="12.6" customHeight="1" thickBot="1" x14ac:dyDescent="0.25">
      <c r="A7" s="155"/>
      <c r="B7" s="157"/>
      <c r="C7" s="160"/>
      <c r="D7" s="146">
        <v>1</v>
      </c>
      <c r="E7" s="146">
        <v>2</v>
      </c>
      <c r="F7" s="146">
        <v>3</v>
      </c>
      <c r="G7" s="146" t="s">
        <v>8</v>
      </c>
      <c r="H7" s="157"/>
      <c r="I7" s="160"/>
      <c r="J7" s="146" t="s">
        <v>10</v>
      </c>
      <c r="K7" s="147" t="s">
        <v>11</v>
      </c>
    </row>
    <row r="8" spans="1:11" ht="12.6" customHeight="1" x14ac:dyDescent="0.2">
      <c r="A8" s="125"/>
      <c r="B8" s="122"/>
      <c r="C8" s="122"/>
      <c r="D8" s="122"/>
      <c r="E8" s="122"/>
      <c r="F8" s="122"/>
      <c r="G8" s="122"/>
      <c r="H8" s="122"/>
      <c r="I8" s="122"/>
      <c r="J8" s="122"/>
      <c r="K8" s="122"/>
    </row>
    <row r="9" spans="1:11" ht="12.6" customHeight="1" x14ac:dyDescent="0.2">
      <c r="A9" s="126" t="s">
        <v>12</v>
      </c>
      <c r="B9" s="99">
        <v>14750</v>
      </c>
      <c r="C9" s="99">
        <v>1587</v>
      </c>
      <c r="D9" s="99">
        <v>911</v>
      </c>
      <c r="E9" s="99">
        <v>526</v>
      </c>
      <c r="F9" s="99">
        <v>111</v>
      </c>
      <c r="G9" s="99">
        <v>39</v>
      </c>
      <c r="H9" s="100">
        <v>1.56</v>
      </c>
      <c r="I9" s="99">
        <v>1197</v>
      </c>
      <c r="J9" s="99">
        <v>390</v>
      </c>
      <c r="K9" s="101">
        <v>24.6</v>
      </c>
    </row>
    <row r="10" spans="1:11" ht="12.6" customHeight="1" x14ac:dyDescent="0.2">
      <c r="A10" s="126" t="s">
        <v>13</v>
      </c>
      <c r="B10" s="99">
        <v>14775</v>
      </c>
      <c r="C10" s="99">
        <v>2627</v>
      </c>
      <c r="D10" s="99">
        <v>1385</v>
      </c>
      <c r="E10" s="99">
        <v>903</v>
      </c>
      <c r="F10" s="99">
        <v>263</v>
      </c>
      <c r="G10" s="99">
        <v>76</v>
      </c>
      <c r="H10" s="100">
        <v>1.64</v>
      </c>
      <c r="I10" s="99">
        <v>2006</v>
      </c>
      <c r="J10" s="99">
        <v>621</v>
      </c>
      <c r="K10" s="101">
        <v>23.6</v>
      </c>
    </row>
    <row r="11" spans="1:11" ht="12.6" customHeight="1" x14ac:dyDescent="0.2">
      <c r="A11" s="126" t="s">
        <v>14</v>
      </c>
      <c r="B11" s="99">
        <v>27285</v>
      </c>
      <c r="C11" s="99">
        <v>4341</v>
      </c>
      <c r="D11" s="99">
        <v>2314</v>
      </c>
      <c r="E11" s="99">
        <v>1544</v>
      </c>
      <c r="F11" s="99">
        <v>381</v>
      </c>
      <c r="G11" s="99">
        <v>102</v>
      </c>
      <c r="H11" s="100">
        <v>1.61</v>
      </c>
      <c r="I11" s="99">
        <v>3274</v>
      </c>
      <c r="J11" s="99">
        <v>1067</v>
      </c>
      <c r="K11" s="101">
        <v>24.6</v>
      </c>
    </row>
    <row r="12" spans="1:11" ht="12.6" customHeight="1" x14ac:dyDescent="0.2">
      <c r="A12" s="126" t="s">
        <v>15</v>
      </c>
      <c r="B12" s="99">
        <v>25357</v>
      </c>
      <c r="C12" s="99">
        <v>3818</v>
      </c>
      <c r="D12" s="99">
        <v>2027</v>
      </c>
      <c r="E12" s="99">
        <v>1433</v>
      </c>
      <c r="F12" s="99">
        <v>300</v>
      </c>
      <c r="G12" s="99">
        <v>58</v>
      </c>
      <c r="H12" s="100">
        <v>1.58</v>
      </c>
      <c r="I12" s="99">
        <v>2979</v>
      </c>
      <c r="J12" s="99">
        <v>839</v>
      </c>
      <c r="K12" s="101">
        <v>22</v>
      </c>
    </row>
    <row r="13" spans="1:11" ht="12.6" customHeight="1" x14ac:dyDescent="0.2">
      <c r="A13" s="126" t="s">
        <v>16</v>
      </c>
      <c r="B13" s="99">
        <v>30593</v>
      </c>
      <c r="C13" s="99">
        <v>4382</v>
      </c>
      <c r="D13" s="99">
        <v>2343</v>
      </c>
      <c r="E13" s="99">
        <v>1643</v>
      </c>
      <c r="F13" s="99">
        <v>329</v>
      </c>
      <c r="G13" s="99">
        <v>67</v>
      </c>
      <c r="H13" s="100">
        <v>1.57</v>
      </c>
      <c r="I13" s="99">
        <v>3471</v>
      </c>
      <c r="J13" s="99">
        <v>911</v>
      </c>
      <c r="K13" s="101">
        <v>20.8</v>
      </c>
    </row>
    <row r="14" spans="1:11" s="153" customFormat="1" ht="17.100000000000001" customHeight="1" x14ac:dyDescent="0.2">
      <c r="A14" s="150" t="s">
        <v>17</v>
      </c>
      <c r="B14" s="151">
        <v>112760</v>
      </c>
      <c r="C14" s="151">
        <v>16755</v>
      </c>
      <c r="D14" s="151">
        <v>8980</v>
      </c>
      <c r="E14" s="151">
        <v>6049</v>
      </c>
      <c r="F14" s="151">
        <v>1384</v>
      </c>
      <c r="G14" s="151">
        <v>342</v>
      </c>
      <c r="H14" s="136">
        <v>1.59</v>
      </c>
      <c r="I14" s="151">
        <v>12927</v>
      </c>
      <c r="J14" s="151">
        <v>3828</v>
      </c>
      <c r="K14" s="152">
        <v>22.8</v>
      </c>
    </row>
    <row r="15" spans="1:11" ht="12.6" customHeight="1" x14ac:dyDescent="0.2">
      <c r="A15" s="126" t="s">
        <v>18</v>
      </c>
      <c r="B15" s="99">
        <v>36938</v>
      </c>
      <c r="C15" s="99">
        <v>7042</v>
      </c>
      <c r="D15" s="99">
        <v>3506</v>
      </c>
      <c r="E15" s="99">
        <v>2558</v>
      </c>
      <c r="F15" s="99">
        <v>753</v>
      </c>
      <c r="G15" s="99">
        <v>225</v>
      </c>
      <c r="H15" s="100">
        <v>1.68</v>
      </c>
      <c r="I15" s="99">
        <v>5371</v>
      </c>
      <c r="J15" s="99">
        <v>1671</v>
      </c>
      <c r="K15" s="101">
        <v>23.7</v>
      </c>
    </row>
    <row r="16" spans="1:11" ht="12.6" customHeight="1" x14ac:dyDescent="0.2">
      <c r="A16" s="126" t="s">
        <v>19</v>
      </c>
      <c r="B16" s="99">
        <v>3561</v>
      </c>
      <c r="C16" s="99">
        <v>666</v>
      </c>
      <c r="D16" s="99">
        <v>319</v>
      </c>
      <c r="E16" s="99">
        <v>256</v>
      </c>
      <c r="F16" s="99">
        <v>72</v>
      </c>
      <c r="G16" s="99">
        <v>19</v>
      </c>
      <c r="H16" s="100">
        <v>1.69</v>
      </c>
      <c r="I16" s="99">
        <v>530</v>
      </c>
      <c r="J16" s="99">
        <v>136</v>
      </c>
      <c r="K16" s="101">
        <v>20.399999999999999</v>
      </c>
    </row>
    <row r="17" spans="1:11" ht="12.6" customHeight="1" x14ac:dyDescent="0.2">
      <c r="A17" s="126" t="s">
        <v>20</v>
      </c>
      <c r="B17" s="99">
        <v>6592</v>
      </c>
      <c r="C17" s="99">
        <v>1237</v>
      </c>
      <c r="D17" s="99">
        <v>601</v>
      </c>
      <c r="E17" s="99">
        <v>492</v>
      </c>
      <c r="F17" s="99">
        <v>114</v>
      </c>
      <c r="G17" s="99">
        <v>30</v>
      </c>
      <c r="H17" s="100">
        <v>1.66</v>
      </c>
      <c r="I17" s="99">
        <v>988</v>
      </c>
      <c r="J17" s="99">
        <v>249</v>
      </c>
      <c r="K17" s="101">
        <v>20.100000000000001</v>
      </c>
    </row>
    <row r="18" spans="1:11" ht="12.6" customHeight="1" x14ac:dyDescent="0.2">
      <c r="A18" s="126" t="s">
        <v>21</v>
      </c>
      <c r="B18" s="99">
        <v>8536</v>
      </c>
      <c r="C18" s="99">
        <v>1563</v>
      </c>
      <c r="D18" s="99">
        <v>749</v>
      </c>
      <c r="E18" s="99">
        <v>638</v>
      </c>
      <c r="F18" s="99">
        <v>148</v>
      </c>
      <c r="G18" s="99">
        <v>28</v>
      </c>
      <c r="H18" s="100">
        <v>1.66</v>
      </c>
      <c r="I18" s="99">
        <v>1275</v>
      </c>
      <c r="J18" s="99">
        <v>288</v>
      </c>
      <c r="K18" s="101">
        <v>18.399999999999999</v>
      </c>
    </row>
    <row r="19" spans="1:11" ht="12.6" customHeight="1" x14ac:dyDescent="0.2">
      <c r="A19" s="126" t="s">
        <v>22</v>
      </c>
      <c r="B19" s="99">
        <v>15765</v>
      </c>
      <c r="C19" s="99">
        <v>3077</v>
      </c>
      <c r="D19" s="99">
        <v>1512</v>
      </c>
      <c r="E19" s="99">
        <v>1192</v>
      </c>
      <c r="F19" s="99">
        <v>293</v>
      </c>
      <c r="G19" s="99">
        <v>80</v>
      </c>
      <c r="H19" s="100">
        <v>1.66</v>
      </c>
      <c r="I19" s="99">
        <v>2458</v>
      </c>
      <c r="J19" s="99">
        <v>619</v>
      </c>
      <c r="K19" s="101">
        <v>20.100000000000001</v>
      </c>
    </row>
    <row r="20" spans="1:11" ht="12.6" customHeight="1" x14ac:dyDescent="0.2">
      <c r="A20" s="126" t="s">
        <v>23</v>
      </c>
      <c r="B20" s="99">
        <v>4881</v>
      </c>
      <c r="C20" s="99">
        <v>990</v>
      </c>
      <c r="D20" s="99">
        <v>470</v>
      </c>
      <c r="E20" s="99">
        <v>391</v>
      </c>
      <c r="F20" s="99">
        <v>97</v>
      </c>
      <c r="G20" s="99">
        <v>32</v>
      </c>
      <c r="H20" s="100">
        <v>1.7</v>
      </c>
      <c r="I20" s="99">
        <v>804</v>
      </c>
      <c r="J20" s="99">
        <v>186</v>
      </c>
      <c r="K20" s="101">
        <v>18.8</v>
      </c>
    </row>
    <row r="21" spans="1:11" ht="12.6" customHeight="1" x14ac:dyDescent="0.2">
      <c r="A21" s="126" t="s">
        <v>24</v>
      </c>
      <c r="B21" s="99">
        <v>17109</v>
      </c>
      <c r="C21" s="99">
        <v>3497</v>
      </c>
      <c r="D21" s="99">
        <v>1719</v>
      </c>
      <c r="E21" s="99">
        <v>1351</v>
      </c>
      <c r="F21" s="99">
        <v>344</v>
      </c>
      <c r="G21" s="99">
        <v>83</v>
      </c>
      <c r="H21" s="100">
        <v>1.66</v>
      </c>
      <c r="I21" s="99">
        <v>2846</v>
      </c>
      <c r="J21" s="99">
        <v>651</v>
      </c>
      <c r="K21" s="101">
        <v>18.600000000000001</v>
      </c>
    </row>
    <row r="22" spans="1:11" ht="12.6" customHeight="1" x14ac:dyDescent="0.2">
      <c r="A22" s="126" t="s">
        <v>25</v>
      </c>
      <c r="B22" s="99">
        <v>12221</v>
      </c>
      <c r="C22" s="99">
        <v>2634</v>
      </c>
      <c r="D22" s="99">
        <v>1254</v>
      </c>
      <c r="E22" s="99">
        <v>977</v>
      </c>
      <c r="F22" s="99">
        <v>323</v>
      </c>
      <c r="G22" s="99">
        <v>80</v>
      </c>
      <c r="H22" s="100">
        <v>1.72</v>
      </c>
      <c r="I22" s="99">
        <v>2007</v>
      </c>
      <c r="J22" s="99">
        <v>627</v>
      </c>
      <c r="K22" s="101">
        <v>23.8</v>
      </c>
    </row>
    <row r="23" spans="1:11" ht="12.6" customHeight="1" x14ac:dyDescent="0.2">
      <c r="A23" s="126" t="s">
        <v>26</v>
      </c>
      <c r="B23" s="99">
        <v>3376</v>
      </c>
      <c r="C23" s="99">
        <v>614</v>
      </c>
      <c r="D23" s="99">
        <v>325</v>
      </c>
      <c r="E23" s="99">
        <v>216</v>
      </c>
      <c r="F23" s="99">
        <v>53</v>
      </c>
      <c r="G23" s="99">
        <v>20</v>
      </c>
      <c r="H23" s="100">
        <v>1.63</v>
      </c>
      <c r="I23" s="99">
        <v>472</v>
      </c>
      <c r="J23" s="99">
        <v>142</v>
      </c>
      <c r="K23" s="101">
        <v>23.1</v>
      </c>
    </row>
    <row r="24" spans="1:11" ht="12.6" customHeight="1" x14ac:dyDescent="0.2">
      <c r="A24" s="126" t="s">
        <v>27</v>
      </c>
      <c r="B24" s="99">
        <v>4233</v>
      </c>
      <c r="C24" s="99">
        <v>851</v>
      </c>
      <c r="D24" s="99">
        <v>402</v>
      </c>
      <c r="E24" s="99">
        <v>328</v>
      </c>
      <c r="F24" s="99">
        <v>86</v>
      </c>
      <c r="G24" s="99">
        <v>35</v>
      </c>
      <c r="H24" s="100">
        <v>1.72</v>
      </c>
      <c r="I24" s="99">
        <v>662</v>
      </c>
      <c r="J24" s="99">
        <v>189</v>
      </c>
      <c r="K24" s="101">
        <v>22.2</v>
      </c>
    </row>
    <row r="25" spans="1:11" ht="12.6" customHeight="1" x14ac:dyDescent="0.2">
      <c r="A25" s="126" t="s">
        <v>28</v>
      </c>
      <c r="B25" s="99">
        <v>7319</v>
      </c>
      <c r="C25" s="99">
        <v>1267</v>
      </c>
      <c r="D25" s="99">
        <v>606</v>
      </c>
      <c r="E25" s="99">
        <v>496</v>
      </c>
      <c r="F25" s="99">
        <v>130</v>
      </c>
      <c r="G25" s="99">
        <v>35</v>
      </c>
      <c r="H25" s="100">
        <v>1.69</v>
      </c>
      <c r="I25" s="99">
        <v>969</v>
      </c>
      <c r="J25" s="99">
        <v>298</v>
      </c>
      <c r="K25" s="101">
        <v>23.5</v>
      </c>
    </row>
    <row r="26" spans="1:11" ht="12.6" customHeight="1" x14ac:dyDescent="0.2">
      <c r="A26" s="126" t="s">
        <v>29</v>
      </c>
      <c r="B26" s="99">
        <v>12172</v>
      </c>
      <c r="C26" s="99">
        <v>2371</v>
      </c>
      <c r="D26" s="99">
        <v>1103</v>
      </c>
      <c r="E26" s="99">
        <v>973</v>
      </c>
      <c r="F26" s="99">
        <v>246</v>
      </c>
      <c r="G26" s="99">
        <v>49</v>
      </c>
      <c r="H26" s="100">
        <v>1.69</v>
      </c>
      <c r="I26" s="99">
        <v>1904</v>
      </c>
      <c r="J26" s="99">
        <v>467</v>
      </c>
      <c r="K26" s="101">
        <v>19.7</v>
      </c>
    </row>
    <row r="27" spans="1:11" ht="12.6" customHeight="1" x14ac:dyDescent="0.2">
      <c r="A27" s="126" t="s">
        <v>30</v>
      </c>
      <c r="B27" s="99">
        <v>6179</v>
      </c>
      <c r="C27" s="99">
        <v>1279</v>
      </c>
      <c r="D27" s="99">
        <v>626</v>
      </c>
      <c r="E27" s="99">
        <v>500</v>
      </c>
      <c r="F27" s="99">
        <v>124</v>
      </c>
      <c r="G27" s="99">
        <v>29</v>
      </c>
      <c r="H27" s="100">
        <v>1.65</v>
      </c>
      <c r="I27" s="99">
        <v>1002</v>
      </c>
      <c r="J27" s="99">
        <v>277</v>
      </c>
      <c r="K27" s="101">
        <v>21.7</v>
      </c>
    </row>
    <row r="28" spans="1:11" ht="12.6" customHeight="1" x14ac:dyDescent="0.2">
      <c r="A28" s="126" t="s">
        <v>31</v>
      </c>
      <c r="B28" s="99">
        <v>8580</v>
      </c>
      <c r="C28" s="99">
        <v>1546</v>
      </c>
      <c r="D28" s="99">
        <v>731</v>
      </c>
      <c r="E28" s="99">
        <v>605</v>
      </c>
      <c r="F28" s="99">
        <v>160</v>
      </c>
      <c r="G28" s="99">
        <v>50</v>
      </c>
      <c r="H28" s="100">
        <v>1.71</v>
      </c>
      <c r="I28" s="99">
        <v>1222</v>
      </c>
      <c r="J28" s="99">
        <v>324</v>
      </c>
      <c r="K28" s="101">
        <v>21</v>
      </c>
    </row>
    <row r="29" spans="1:11" ht="12.6" customHeight="1" x14ac:dyDescent="0.2">
      <c r="A29" s="126" t="s">
        <v>32</v>
      </c>
      <c r="B29" s="99">
        <v>24712</v>
      </c>
      <c r="C29" s="99">
        <v>4225</v>
      </c>
      <c r="D29" s="99">
        <v>2053</v>
      </c>
      <c r="E29" s="99">
        <v>1680</v>
      </c>
      <c r="F29" s="99">
        <v>413</v>
      </c>
      <c r="G29" s="99">
        <v>79</v>
      </c>
      <c r="H29" s="100">
        <v>1.66</v>
      </c>
      <c r="I29" s="99">
        <v>3420</v>
      </c>
      <c r="J29" s="99">
        <v>805</v>
      </c>
      <c r="K29" s="101">
        <v>19.100000000000001</v>
      </c>
    </row>
    <row r="30" spans="1:11" ht="12.6" customHeight="1" x14ac:dyDescent="0.2">
      <c r="A30" s="126" t="s">
        <v>33</v>
      </c>
      <c r="B30" s="99">
        <v>4764</v>
      </c>
      <c r="C30" s="99">
        <v>906</v>
      </c>
      <c r="D30" s="99">
        <v>413</v>
      </c>
      <c r="E30" s="99">
        <v>331</v>
      </c>
      <c r="F30" s="99">
        <v>123</v>
      </c>
      <c r="G30" s="99">
        <v>39</v>
      </c>
      <c r="H30" s="100">
        <v>1.78</v>
      </c>
      <c r="I30" s="99">
        <v>707</v>
      </c>
      <c r="J30" s="99">
        <v>199</v>
      </c>
      <c r="K30" s="101">
        <v>22</v>
      </c>
    </row>
    <row r="31" spans="1:11" ht="12.6" customHeight="1" x14ac:dyDescent="0.2">
      <c r="A31" s="126" t="s">
        <v>34</v>
      </c>
      <c r="B31" s="99">
        <v>14841</v>
      </c>
      <c r="C31" s="99">
        <v>3400</v>
      </c>
      <c r="D31" s="99">
        <v>1638</v>
      </c>
      <c r="E31" s="99">
        <v>1322</v>
      </c>
      <c r="F31" s="99">
        <v>352</v>
      </c>
      <c r="G31" s="99">
        <v>88</v>
      </c>
      <c r="H31" s="100">
        <v>1.68</v>
      </c>
      <c r="I31" s="99">
        <v>2672</v>
      </c>
      <c r="J31" s="99">
        <v>728</v>
      </c>
      <c r="K31" s="101">
        <v>21.4</v>
      </c>
    </row>
    <row r="32" spans="1:11" ht="12.6" customHeight="1" x14ac:dyDescent="0.2">
      <c r="A32" s="126" t="s">
        <v>35</v>
      </c>
      <c r="B32" s="99">
        <v>18879</v>
      </c>
      <c r="C32" s="99">
        <v>4060</v>
      </c>
      <c r="D32" s="99">
        <v>1915</v>
      </c>
      <c r="E32" s="99">
        <v>1567</v>
      </c>
      <c r="F32" s="99">
        <v>445</v>
      </c>
      <c r="G32" s="99">
        <v>133</v>
      </c>
      <c r="H32" s="100">
        <v>1.71</v>
      </c>
      <c r="I32" s="99">
        <v>3152</v>
      </c>
      <c r="J32" s="99">
        <v>908</v>
      </c>
      <c r="K32" s="101">
        <v>22.4</v>
      </c>
    </row>
    <row r="33" spans="1:11" s="153" customFormat="1" ht="17.100000000000001" customHeight="1" x14ac:dyDescent="0.2">
      <c r="A33" s="150" t="s">
        <v>36</v>
      </c>
      <c r="B33" s="151">
        <v>210658</v>
      </c>
      <c r="C33" s="151">
        <v>41225</v>
      </c>
      <c r="D33" s="151">
        <v>19942</v>
      </c>
      <c r="E33" s="151">
        <v>15873</v>
      </c>
      <c r="F33" s="151">
        <v>4276</v>
      </c>
      <c r="G33" s="151">
        <v>1134</v>
      </c>
      <c r="H33" s="136">
        <v>1.68</v>
      </c>
      <c r="I33" s="151">
        <v>32461</v>
      </c>
      <c r="J33" s="151">
        <v>8764</v>
      </c>
      <c r="K33" s="152">
        <v>21.3</v>
      </c>
    </row>
    <row r="34" spans="1:11" ht="17.100000000000001" customHeight="1" x14ac:dyDescent="0.2">
      <c r="A34" s="128" t="s">
        <v>37</v>
      </c>
      <c r="B34" s="109">
        <v>323418</v>
      </c>
      <c r="C34" s="139">
        <v>57980</v>
      </c>
      <c r="D34" s="109">
        <v>28922</v>
      </c>
      <c r="E34" s="109">
        <v>21922</v>
      </c>
      <c r="F34" s="109">
        <v>5660</v>
      </c>
      <c r="G34" s="109">
        <v>1476</v>
      </c>
      <c r="H34" s="137">
        <v>1.66</v>
      </c>
      <c r="I34" s="109">
        <v>45388</v>
      </c>
      <c r="J34" s="109">
        <v>12592</v>
      </c>
      <c r="K34" s="138">
        <v>21.7</v>
      </c>
    </row>
  </sheetData>
  <mergeCells count="8">
    <mergeCell ref="A5:A7"/>
    <mergeCell ref="B5:B7"/>
    <mergeCell ref="C5:K5"/>
    <mergeCell ref="C6:C7"/>
    <mergeCell ref="D6:G6"/>
    <mergeCell ref="H6:H7"/>
    <mergeCell ref="I6:I7"/>
    <mergeCell ref="J6:K6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3"/>
  <dimension ref="A1:K67"/>
  <sheetViews>
    <sheetView workbookViewId="0">
      <selection activeCell="M1" sqref="M1:N65536"/>
    </sheetView>
  </sheetViews>
  <sheetFormatPr baseColWidth="10" defaultColWidth="9.83203125" defaultRowHeight="12.75" customHeight="1" x14ac:dyDescent="0.2"/>
  <cols>
    <col min="1" max="1" width="20.83203125" customWidth="1"/>
    <col min="2" max="4" width="9.6640625" customWidth="1"/>
    <col min="5" max="9" width="9" customWidth="1"/>
    <col min="10" max="10" width="9.6640625" customWidth="1"/>
    <col min="11" max="11" width="10" customWidth="1"/>
  </cols>
  <sheetData>
    <row r="1" spans="1:11" ht="12.75" customHeight="1" x14ac:dyDescent="0.2">
      <c r="A1" s="3" t="s">
        <v>52</v>
      </c>
      <c r="B1" s="3"/>
      <c r="C1" s="3"/>
      <c r="D1" s="3"/>
      <c r="E1" s="3"/>
      <c r="F1" s="3"/>
      <c r="G1" s="3"/>
      <c r="H1" s="1"/>
      <c r="I1" s="1"/>
      <c r="J1" s="1"/>
      <c r="K1" s="1"/>
    </row>
    <row r="3" spans="1:11" ht="12" customHeight="1" x14ac:dyDescent="0.2">
      <c r="A3" s="25" t="s">
        <v>63</v>
      </c>
      <c r="B3" s="26"/>
      <c r="C3" s="26"/>
      <c r="D3" s="26"/>
      <c r="E3" s="26"/>
      <c r="F3" s="26"/>
      <c r="G3" s="26"/>
      <c r="H3" s="26"/>
      <c r="I3" s="26"/>
      <c r="J3" s="26"/>
      <c r="K3" s="26"/>
    </row>
    <row r="4" spans="1:11" ht="12" customHeight="1" x14ac:dyDescent="0.2">
      <c r="A4" s="25" t="s">
        <v>0</v>
      </c>
      <c r="B4" s="26"/>
      <c r="C4" s="26"/>
      <c r="D4" s="26"/>
      <c r="E4" s="26"/>
      <c r="F4" s="26"/>
      <c r="G4" s="26"/>
      <c r="H4" s="26"/>
      <c r="I4" s="26"/>
      <c r="J4" s="26"/>
      <c r="K4" s="26"/>
    </row>
    <row r="5" spans="1:11" ht="12" customHeight="1" x14ac:dyDescent="0.2">
      <c r="A5" s="4"/>
      <c r="B5" s="5"/>
      <c r="C5" s="5"/>
      <c r="D5" s="5"/>
      <c r="E5" s="5"/>
      <c r="F5" s="5"/>
      <c r="G5" s="5"/>
      <c r="H5" s="5"/>
      <c r="I5" s="5"/>
      <c r="J5" s="5"/>
      <c r="K5" s="5"/>
    </row>
    <row r="6" spans="1:11" ht="12" customHeight="1" x14ac:dyDescent="0.2">
      <c r="A6" s="189" t="s">
        <v>2</v>
      </c>
      <c r="B6" s="190" t="s">
        <v>86</v>
      </c>
      <c r="C6" s="6" t="s">
        <v>1</v>
      </c>
      <c r="D6" s="6"/>
      <c r="E6" s="6"/>
      <c r="F6" s="6"/>
      <c r="G6" s="6"/>
      <c r="H6" s="6"/>
      <c r="I6" s="6"/>
      <c r="J6" s="6"/>
      <c r="K6" s="6"/>
    </row>
    <row r="7" spans="1:11" ht="12" customHeight="1" x14ac:dyDescent="0.2">
      <c r="A7" s="187"/>
      <c r="B7" s="176"/>
      <c r="C7" s="191" t="s">
        <v>3</v>
      </c>
      <c r="D7" s="6" t="s">
        <v>4</v>
      </c>
      <c r="E7" s="6"/>
      <c r="F7" s="6"/>
      <c r="G7" s="6"/>
      <c r="H7" s="7" t="s">
        <v>5</v>
      </c>
      <c r="I7" s="191" t="s">
        <v>6</v>
      </c>
      <c r="J7" s="8" t="s">
        <v>7</v>
      </c>
      <c r="K7" s="6"/>
    </row>
    <row r="8" spans="1:11" ht="12" customHeight="1" x14ac:dyDescent="0.2">
      <c r="A8" s="188"/>
      <c r="B8" s="177"/>
      <c r="C8" s="179"/>
      <c r="D8" s="85">
        <v>1</v>
      </c>
      <c r="E8" s="86">
        <v>2</v>
      </c>
      <c r="F8" s="11">
        <v>3</v>
      </c>
      <c r="G8" s="12" t="s">
        <v>8</v>
      </c>
      <c r="H8" s="13" t="s">
        <v>9</v>
      </c>
      <c r="I8" s="179"/>
      <c r="J8" s="10" t="s">
        <v>10</v>
      </c>
      <c r="K8" s="14" t="s">
        <v>11</v>
      </c>
    </row>
    <row r="9" spans="1:11" ht="12" customHeight="1" x14ac:dyDescent="0.2">
      <c r="A9" s="9"/>
      <c r="B9" s="15"/>
      <c r="C9" s="15"/>
      <c r="D9" s="15"/>
      <c r="E9" s="15"/>
      <c r="F9" s="15"/>
      <c r="G9" s="15"/>
      <c r="H9" s="15"/>
      <c r="I9" s="15"/>
      <c r="J9" s="15"/>
      <c r="K9" s="15"/>
    </row>
    <row r="10" spans="1:11" ht="12" customHeight="1" x14ac:dyDescent="0.2">
      <c r="A10" s="20" t="s">
        <v>12</v>
      </c>
      <c r="B10" s="16">
        <v>13442</v>
      </c>
      <c r="C10" s="16">
        <f>SUM(D10:G10)</f>
        <v>1819</v>
      </c>
      <c r="D10" s="16">
        <v>1043</v>
      </c>
      <c r="E10" s="16">
        <v>561</v>
      </c>
      <c r="F10" s="16">
        <v>157</v>
      </c>
      <c r="G10" s="16">
        <v>58</v>
      </c>
      <c r="H10" s="17">
        <v>1.5948323254535459</v>
      </c>
      <c r="I10" s="16">
        <v>1426</v>
      </c>
      <c r="J10" s="16">
        <v>393</v>
      </c>
      <c r="K10" s="21">
        <f t="shared" ref="K10:K15" si="0">+J10/C10*100</f>
        <v>21.60527762506872</v>
      </c>
    </row>
    <row r="11" spans="1:11" ht="12" customHeight="1" x14ac:dyDescent="0.2">
      <c r="A11" s="20" t="s">
        <v>13</v>
      </c>
      <c r="B11" s="16">
        <v>12695</v>
      </c>
      <c r="C11" s="16">
        <f>SUM(D11:G11)</f>
        <v>2156</v>
      </c>
      <c r="D11" s="16">
        <v>1164</v>
      </c>
      <c r="E11" s="16">
        <v>710</v>
      </c>
      <c r="F11" s="16">
        <v>204</v>
      </c>
      <c r="G11" s="16">
        <v>78</v>
      </c>
      <c r="H11" s="17">
        <v>1.6358998144712431</v>
      </c>
      <c r="I11" s="16">
        <v>1769</v>
      </c>
      <c r="J11" s="16">
        <v>387</v>
      </c>
      <c r="K11" s="21">
        <f t="shared" si="0"/>
        <v>17.94990723562152</v>
      </c>
    </row>
    <row r="12" spans="1:11" ht="12" customHeight="1" x14ac:dyDescent="0.2">
      <c r="A12" s="20" t="s">
        <v>14</v>
      </c>
      <c r="B12" s="16">
        <v>26021</v>
      </c>
      <c r="C12" s="16">
        <f>SUM(D12:G12)</f>
        <v>4961</v>
      </c>
      <c r="D12" s="16">
        <v>2765</v>
      </c>
      <c r="E12" s="16">
        <v>1668</v>
      </c>
      <c r="F12" s="16">
        <v>430</v>
      </c>
      <c r="G12" s="16">
        <v>98</v>
      </c>
      <c r="H12" s="17">
        <v>1.5760935295303367</v>
      </c>
      <c r="I12" s="16">
        <v>3876</v>
      </c>
      <c r="J12" s="16">
        <v>1085</v>
      </c>
      <c r="K12" s="21">
        <f t="shared" si="0"/>
        <v>21.870590606732513</v>
      </c>
    </row>
    <row r="13" spans="1:11" ht="12" customHeight="1" x14ac:dyDescent="0.2">
      <c r="A13" s="20" t="s">
        <v>15</v>
      </c>
      <c r="B13" s="16">
        <v>24109</v>
      </c>
      <c r="C13" s="16">
        <f>SUM(D13:G13)</f>
        <v>3998</v>
      </c>
      <c r="D13" s="16">
        <v>2210</v>
      </c>
      <c r="E13" s="16">
        <v>1330</v>
      </c>
      <c r="F13" s="16">
        <v>356</v>
      </c>
      <c r="G13" s="16">
        <v>102</v>
      </c>
      <c r="H13" s="17">
        <v>1.5955477738869435</v>
      </c>
      <c r="I13" s="16">
        <v>3185</v>
      </c>
      <c r="J13" s="16">
        <v>813</v>
      </c>
      <c r="K13" s="21">
        <f t="shared" si="0"/>
        <v>20.335167583791897</v>
      </c>
    </row>
    <row r="14" spans="1:11" ht="12" customHeight="1" x14ac:dyDescent="0.2">
      <c r="A14" s="20" t="s">
        <v>16</v>
      </c>
      <c r="B14" s="16">
        <v>29126</v>
      </c>
      <c r="C14" s="16">
        <f>SUM(D14:G14)</f>
        <v>4483</v>
      </c>
      <c r="D14" s="16">
        <v>2589</v>
      </c>
      <c r="E14" s="16">
        <v>1459</v>
      </c>
      <c r="F14" s="16">
        <v>354</v>
      </c>
      <c r="G14" s="16">
        <v>81</v>
      </c>
      <c r="H14" s="17">
        <v>1.542493865714923</v>
      </c>
      <c r="I14" s="16">
        <v>3513</v>
      </c>
      <c r="J14" s="16">
        <v>970</v>
      </c>
      <c r="K14" s="21">
        <f t="shared" si="0"/>
        <v>21.637296453267901</v>
      </c>
    </row>
    <row r="15" spans="1:11" ht="12" customHeight="1" x14ac:dyDescent="0.2">
      <c r="A15" s="22" t="s">
        <v>17</v>
      </c>
      <c r="B15" s="16">
        <f t="shared" ref="B15:G15" si="1">SUM(B10:B14)</f>
        <v>105393</v>
      </c>
      <c r="C15" s="16">
        <f t="shared" si="1"/>
        <v>17417</v>
      </c>
      <c r="D15" s="16">
        <f t="shared" si="1"/>
        <v>9771</v>
      </c>
      <c r="E15" s="16">
        <f t="shared" si="1"/>
        <v>5728</v>
      </c>
      <c r="F15" s="16">
        <f t="shared" si="1"/>
        <v>1501</v>
      </c>
      <c r="G15" s="16">
        <f t="shared" si="1"/>
        <v>417</v>
      </c>
      <c r="H15" s="17">
        <v>1.581271171843601</v>
      </c>
      <c r="I15" s="16">
        <f>SUM(I10:I14)</f>
        <v>13769</v>
      </c>
      <c r="J15" s="16">
        <f>SUM(J10:J14)</f>
        <v>3648</v>
      </c>
      <c r="K15" s="21">
        <f t="shared" si="0"/>
        <v>20.945053683183097</v>
      </c>
    </row>
    <row r="16" spans="1:11" ht="12" customHeight="1" x14ac:dyDescent="0.2">
      <c r="A16" s="9"/>
      <c r="B16" s="16"/>
      <c r="C16" s="16"/>
      <c r="D16" s="16"/>
      <c r="E16" s="16"/>
      <c r="F16" s="16"/>
      <c r="G16" s="16"/>
      <c r="H16" s="17"/>
      <c r="I16" s="16"/>
      <c r="J16" s="16"/>
      <c r="K16" s="21"/>
    </row>
    <row r="17" spans="1:11" ht="12" customHeight="1" x14ac:dyDescent="0.2">
      <c r="A17" s="20" t="s">
        <v>18</v>
      </c>
      <c r="B17" s="16">
        <v>31420</v>
      </c>
      <c r="C17" s="16">
        <f t="shared" ref="C17:C34" si="2">SUM(D17:G17)</f>
        <v>6652</v>
      </c>
      <c r="D17" s="16">
        <v>3381</v>
      </c>
      <c r="E17" s="16">
        <v>2366</v>
      </c>
      <c r="F17" s="16">
        <v>698</v>
      </c>
      <c r="G17" s="16">
        <v>207</v>
      </c>
      <c r="H17" s="17">
        <v>1.6680697534576068</v>
      </c>
      <c r="I17" s="16">
        <v>5451</v>
      </c>
      <c r="J17" s="16">
        <v>1201</v>
      </c>
      <c r="K17" s="21">
        <f t="shared" ref="K17:K35" si="3">+J17/C17*100</f>
        <v>18.054720384846661</v>
      </c>
    </row>
    <row r="18" spans="1:11" ht="12" customHeight="1" x14ac:dyDescent="0.2">
      <c r="A18" s="20" t="s">
        <v>19</v>
      </c>
      <c r="B18" s="16">
        <v>3108</v>
      </c>
      <c r="C18" s="16">
        <f t="shared" si="2"/>
        <v>563</v>
      </c>
      <c r="D18" s="16">
        <v>279</v>
      </c>
      <c r="E18" s="16">
        <v>214</v>
      </c>
      <c r="F18" s="16">
        <v>52</v>
      </c>
      <c r="G18" s="16">
        <v>18</v>
      </c>
      <c r="H18" s="17">
        <v>1.6714031971580816</v>
      </c>
      <c r="I18" s="16">
        <v>473</v>
      </c>
      <c r="J18" s="16">
        <v>90</v>
      </c>
      <c r="K18" s="21">
        <f t="shared" si="3"/>
        <v>15.985790408525755</v>
      </c>
    </row>
    <row r="19" spans="1:11" ht="12" customHeight="1" x14ac:dyDescent="0.2">
      <c r="A19" s="20" t="s">
        <v>20</v>
      </c>
      <c r="B19" s="16">
        <v>6650</v>
      </c>
      <c r="C19" s="16">
        <f t="shared" si="2"/>
        <v>1236</v>
      </c>
      <c r="D19" s="16">
        <v>628</v>
      </c>
      <c r="E19" s="16">
        <v>444</v>
      </c>
      <c r="F19" s="16">
        <v>131</v>
      </c>
      <c r="G19" s="16">
        <v>33</v>
      </c>
      <c r="H19" s="17">
        <v>1.6610032362459546</v>
      </c>
      <c r="I19" s="16">
        <v>1027</v>
      </c>
      <c r="J19" s="16">
        <v>209</v>
      </c>
      <c r="K19" s="21">
        <f t="shared" si="3"/>
        <v>16.909385113268609</v>
      </c>
    </row>
    <row r="20" spans="1:11" ht="12" customHeight="1" x14ac:dyDescent="0.2">
      <c r="A20" s="20" t="s">
        <v>21</v>
      </c>
      <c r="B20" s="16">
        <v>8734</v>
      </c>
      <c r="C20" s="16">
        <f t="shared" si="2"/>
        <v>1513</v>
      </c>
      <c r="D20" s="16">
        <v>755</v>
      </c>
      <c r="E20" s="16">
        <v>584</v>
      </c>
      <c r="F20" s="16">
        <v>132</v>
      </c>
      <c r="G20" s="16">
        <v>42</v>
      </c>
      <c r="H20" s="17">
        <v>1.6510244547257105</v>
      </c>
      <c r="I20" s="16">
        <v>1256</v>
      </c>
      <c r="J20" s="16">
        <v>257</v>
      </c>
      <c r="K20" s="21">
        <f t="shared" si="3"/>
        <v>16.986120290812952</v>
      </c>
    </row>
    <row r="21" spans="1:11" ht="12" customHeight="1" x14ac:dyDescent="0.2">
      <c r="A21" s="20" t="s">
        <v>22</v>
      </c>
      <c r="B21" s="16">
        <v>14040</v>
      </c>
      <c r="C21" s="16">
        <f t="shared" si="2"/>
        <v>2581</v>
      </c>
      <c r="D21" s="16">
        <v>1357</v>
      </c>
      <c r="E21" s="16">
        <v>926</v>
      </c>
      <c r="F21" s="16">
        <v>233</v>
      </c>
      <c r="G21" s="16">
        <v>65</v>
      </c>
      <c r="H21" s="17">
        <v>1.6206896551724137</v>
      </c>
      <c r="I21" s="16">
        <v>2166</v>
      </c>
      <c r="J21" s="16">
        <v>415</v>
      </c>
      <c r="K21" s="21">
        <f t="shared" si="3"/>
        <v>16.079039132119334</v>
      </c>
    </row>
    <row r="22" spans="1:11" ht="12" customHeight="1" x14ac:dyDescent="0.2">
      <c r="A22" s="20" t="s">
        <v>23</v>
      </c>
      <c r="B22" s="16">
        <v>4500</v>
      </c>
      <c r="C22" s="16">
        <f t="shared" si="2"/>
        <v>1002</v>
      </c>
      <c r="D22" s="16">
        <v>517</v>
      </c>
      <c r="E22" s="16">
        <v>367</v>
      </c>
      <c r="F22" s="16">
        <v>97</v>
      </c>
      <c r="G22" s="16">
        <v>21</v>
      </c>
      <c r="H22" s="17">
        <v>1.6307385229540918</v>
      </c>
      <c r="I22" s="16">
        <v>847</v>
      </c>
      <c r="J22" s="16">
        <v>155</v>
      </c>
      <c r="K22" s="21">
        <f t="shared" si="3"/>
        <v>15.469061876247507</v>
      </c>
    </row>
    <row r="23" spans="1:11" ht="12" customHeight="1" x14ac:dyDescent="0.2">
      <c r="A23" s="20" t="s">
        <v>24</v>
      </c>
      <c r="B23" s="16">
        <v>14636</v>
      </c>
      <c r="C23" s="16">
        <f t="shared" si="2"/>
        <v>2717</v>
      </c>
      <c r="D23" s="16">
        <v>1348</v>
      </c>
      <c r="E23" s="16">
        <v>1034</v>
      </c>
      <c r="F23" s="16">
        <v>255</v>
      </c>
      <c r="G23" s="16">
        <v>80</v>
      </c>
      <c r="H23" s="17">
        <v>1.666543982333456</v>
      </c>
      <c r="I23" s="16">
        <v>2268</v>
      </c>
      <c r="J23" s="16">
        <v>449</v>
      </c>
      <c r="K23" s="21">
        <f t="shared" si="3"/>
        <v>16.525579683474419</v>
      </c>
    </row>
    <row r="24" spans="1:11" ht="12" customHeight="1" x14ac:dyDescent="0.2">
      <c r="A24" s="20" t="s">
        <v>25</v>
      </c>
      <c r="B24" s="16">
        <v>11758</v>
      </c>
      <c r="C24" s="16">
        <f t="shared" si="2"/>
        <v>2899</v>
      </c>
      <c r="D24" s="16">
        <v>1407</v>
      </c>
      <c r="E24" s="16">
        <v>1079</v>
      </c>
      <c r="F24" s="16">
        <v>314</v>
      </c>
      <c r="G24" s="16">
        <v>99</v>
      </c>
      <c r="H24" s="17">
        <v>1.7005864091065885</v>
      </c>
      <c r="I24" s="16">
        <v>2437</v>
      </c>
      <c r="J24" s="16">
        <v>462</v>
      </c>
      <c r="K24" s="21">
        <f t="shared" si="3"/>
        <v>15.936529837875129</v>
      </c>
    </row>
    <row r="25" spans="1:11" ht="12" customHeight="1" x14ac:dyDescent="0.2">
      <c r="A25" s="20" t="s">
        <v>26</v>
      </c>
      <c r="B25" s="16">
        <v>3250</v>
      </c>
      <c r="C25" s="16">
        <f t="shared" si="2"/>
        <v>625</v>
      </c>
      <c r="D25" s="16">
        <v>345</v>
      </c>
      <c r="E25" s="16">
        <v>229</v>
      </c>
      <c r="F25" s="16">
        <v>42</v>
      </c>
      <c r="G25" s="16">
        <v>9</v>
      </c>
      <c r="H25" s="17">
        <v>1.5488</v>
      </c>
      <c r="I25" s="16">
        <v>515</v>
      </c>
      <c r="J25" s="16">
        <v>110</v>
      </c>
      <c r="K25" s="21">
        <f t="shared" si="3"/>
        <v>17.599999999999998</v>
      </c>
    </row>
    <row r="26" spans="1:11" ht="12" customHeight="1" x14ac:dyDescent="0.2">
      <c r="A26" s="20" t="s">
        <v>27</v>
      </c>
      <c r="B26" s="16">
        <v>3969</v>
      </c>
      <c r="C26" s="16">
        <f t="shared" si="2"/>
        <v>845</v>
      </c>
      <c r="D26" s="16">
        <v>430</v>
      </c>
      <c r="E26" s="16">
        <v>313</v>
      </c>
      <c r="F26" s="16">
        <v>81</v>
      </c>
      <c r="G26" s="16">
        <v>21</v>
      </c>
      <c r="H26" s="17">
        <v>1.6390532544378698</v>
      </c>
      <c r="I26" s="16">
        <v>710</v>
      </c>
      <c r="J26" s="16">
        <v>135</v>
      </c>
      <c r="K26" s="21">
        <f t="shared" si="3"/>
        <v>15.976331360946746</v>
      </c>
    </row>
    <row r="27" spans="1:11" ht="12" customHeight="1" x14ac:dyDescent="0.2">
      <c r="A27" s="20" t="s">
        <v>28</v>
      </c>
      <c r="B27" s="16">
        <v>6226</v>
      </c>
      <c r="C27" s="16">
        <f t="shared" si="2"/>
        <v>1068</v>
      </c>
      <c r="D27" s="16">
        <v>544</v>
      </c>
      <c r="E27" s="16">
        <v>397</v>
      </c>
      <c r="F27" s="16">
        <v>108</v>
      </c>
      <c r="G27" s="16">
        <v>19</v>
      </c>
      <c r="H27" s="17">
        <v>1.6282771535580525</v>
      </c>
      <c r="I27" s="16">
        <v>886</v>
      </c>
      <c r="J27" s="16">
        <v>182</v>
      </c>
      <c r="K27" s="21">
        <f t="shared" si="3"/>
        <v>17.04119850187266</v>
      </c>
    </row>
    <row r="28" spans="1:11" ht="12" customHeight="1" x14ac:dyDescent="0.2">
      <c r="A28" s="20" t="s">
        <v>29</v>
      </c>
      <c r="B28" s="16">
        <v>11291</v>
      </c>
      <c r="C28" s="16">
        <f t="shared" si="2"/>
        <v>2383</v>
      </c>
      <c r="D28" s="16">
        <v>1127</v>
      </c>
      <c r="E28" s="16">
        <v>935</v>
      </c>
      <c r="F28" s="16">
        <v>248</v>
      </c>
      <c r="G28" s="16">
        <v>73</v>
      </c>
      <c r="H28" s="17">
        <v>1.702056231640789</v>
      </c>
      <c r="I28" s="16">
        <v>2005</v>
      </c>
      <c r="J28" s="16">
        <v>378</v>
      </c>
      <c r="K28" s="21">
        <f t="shared" si="3"/>
        <v>15.862358371800253</v>
      </c>
    </row>
    <row r="29" spans="1:11" ht="12" customHeight="1" x14ac:dyDescent="0.2">
      <c r="A29" s="20" t="s">
        <v>30</v>
      </c>
      <c r="B29" s="16">
        <v>5170</v>
      </c>
      <c r="C29" s="16">
        <f t="shared" si="2"/>
        <v>1304</v>
      </c>
      <c r="D29" s="16">
        <v>627</v>
      </c>
      <c r="E29" s="16">
        <v>495</v>
      </c>
      <c r="F29" s="16">
        <v>135</v>
      </c>
      <c r="G29" s="16">
        <v>47</v>
      </c>
      <c r="H29" s="17">
        <v>1.7070552147239264</v>
      </c>
      <c r="I29" s="16">
        <v>1128</v>
      </c>
      <c r="J29" s="16">
        <v>176</v>
      </c>
      <c r="K29" s="21">
        <f t="shared" si="3"/>
        <v>13.496932515337424</v>
      </c>
    </row>
    <row r="30" spans="1:11" ht="12" customHeight="1" x14ac:dyDescent="0.2">
      <c r="A30" s="20" t="s">
        <v>31</v>
      </c>
      <c r="B30" s="16">
        <v>7961</v>
      </c>
      <c r="C30" s="16">
        <f t="shared" si="2"/>
        <v>1639</v>
      </c>
      <c r="D30" s="16">
        <v>876</v>
      </c>
      <c r="E30" s="16">
        <v>589</v>
      </c>
      <c r="F30" s="16">
        <v>147</v>
      </c>
      <c r="G30" s="16">
        <v>27</v>
      </c>
      <c r="H30" s="17">
        <v>1.5936546674801708</v>
      </c>
      <c r="I30" s="16">
        <v>1380</v>
      </c>
      <c r="J30" s="16">
        <v>259</v>
      </c>
      <c r="K30" s="21">
        <f t="shared" si="3"/>
        <v>15.802318486882244</v>
      </c>
    </row>
    <row r="31" spans="1:11" ht="12" customHeight="1" x14ac:dyDescent="0.2">
      <c r="A31" s="20" t="s">
        <v>32</v>
      </c>
      <c r="B31" s="16">
        <v>21639</v>
      </c>
      <c r="C31" s="16">
        <f t="shared" si="2"/>
        <v>3797</v>
      </c>
      <c r="D31" s="16">
        <v>1904</v>
      </c>
      <c r="E31" s="16">
        <v>1420</v>
      </c>
      <c r="F31" s="16">
        <v>356</v>
      </c>
      <c r="G31" s="16">
        <v>117</v>
      </c>
      <c r="H31" s="17">
        <v>1.6655254148011589</v>
      </c>
      <c r="I31" s="16">
        <v>3169</v>
      </c>
      <c r="J31" s="16">
        <v>628</v>
      </c>
      <c r="K31" s="21">
        <f t="shared" si="3"/>
        <v>16.53937318936002</v>
      </c>
    </row>
    <row r="32" spans="1:11" ht="12" customHeight="1" x14ac:dyDescent="0.2">
      <c r="A32" s="20" t="s">
        <v>33</v>
      </c>
      <c r="B32" s="16">
        <v>4615</v>
      </c>
      <c r="C32" s="16">
        <f t="shared" si="2"/>
        <v>941</v>
      </c>
      <c r="D32" s="16">
        <v>512</v>
      </c>
      <c r="E32" s="16">
        <v>340</v>
      </c>
      <c r="F32" s="16">
        <v>75</v>
      </c>
      <c r="G32" s="16">
        <v>14</v>
      </c>
      <c r="H32" s="17">
        <v>1.5738575982996812</v>
      </c>
      <c r="I32" s="16">
        <v>769</v>
      </c>
      <c r="J32" s="16">
        <v>172</v>
      </c>
      <c r="K32" s="21">
        <f t="shared" si="3"/>
        <v>18.278427205100954</v>
      </c>
    </row>
    <row r="33" spans="1:11" ht="12" customHeight="1" x14ac:dyDescent="0.2">
      <c r="A33" s="20" t="s">
        <v>34</v>
      </c>
      <c r="B33" s="16">
        <v>13246</v>
      </c>
      <c r="C33" s="16">
        <f t="shared" si="2"/>
        <v>3160</v>
      </c>
      <c r="D33" s="16">
        <v>1489</v>
      </c>
      <c r="E33" s="16">
        <v>1219</v>
      </c>
      <c r="F33" s="16">
        <v>367</v>
      </c>
      <c r="G33" s="16">
        <v>85</v>
      </c>
      <c r="H33" s="17">
        <v>1.7037974683544304</v>
      </c>
      <c r="I33" s="16">
        <v>2669</v>
      </c>
      <c r="J33" s="16">
        <v>491</v>
      </c>
      <c r="K33" s="21">
        <f t="shared" si="3"/>
        <v>15.537974683544304</v>
      </c>
    </row>
    <row r="34" spans="1:11" ht="12" customHeight="1" x14ac:dyDescent="0.2">
      <c r="A34" s="20" t="s">
        <v>35</v>
      </c>
      <c r="B34" s="16">
        <v>17233</v>
      </c>
      <c r="C34" s="16">
        <f t="shared" si="2"/>
        <v>3707</v>
      </c>
      <c r="D34" s="16">
        <v>1954</v>
      </c>
      <c r="E34" s="16">
        <v>1306</v>
      </c>
      <c r="F34" s="16">
        <v>351</v>
      </c>
      <c r="G34" s="16">
        <v>96</v>
      </c>
      <c r="H34" s="17">
        <v>1.6261127596439169</v>
      </c>
      <c r="I34" s="16">
        <v>3071</v>
      </c>
      <c r="J34" s="16">
        <v>636</v>
      </c>
      <c r="K34" s="21">
        <f t="shared" si="3"/>
        <v>17.156730509846238</v>
      </c>
    </row>
    <row r="35" spans="1:11" ht="12" customHeight="1" x14ac:dyDescent="0.2">
      <c r="A35" s="22" t="s">
        <v>36</v>
      </c>
      <c r="B35" s="16">
        <f t="shared" ref="B35:G35" si="4">SUM(B17:B34)</f>
        <v>189446</v>
      </c>
      <c r="C35" s="16">
        <f t="shared" si="4"/>
        <v>38632</v>
      </c>
      <c r="D35" s="16">
        <f t="shared" si="4"/>
        <v>19480</v>
      </c>
      <c r="E35" s="16">
        <f t="shared" si="4"/>
        <v>14257</v>
      </c>
      <c r="F35" s="16">
        <f t="shared" si="4"/>
        <v>3822</v>
      </c>
      <c r="G35" s="16">
        <f t="shared" si="4"/>
        <v>1073</v>
      </c>
      <c r="H35" s="17">
        <v>1.6583661213501759</v>
      </c>
      <c r="I35" s="16">
        <f>SUM(I17:I34)</f>
        <v>32227</v>
      </c>
      <c r="J35" s="16">
        <f>SUM(J17:J34)</f>
        <v>6405</v>
      </c>
      <c r="K35" s="21">
        <f t="shared" si="3"/>
        <v>16.579519569268999</v>
      </c>
    </row>
    <row r="36" spans="1:11" ht="12" customHeight="1" x14ac:dyDescent="0.2">
      <c r="A36" s="9"/>
      <c r="B36" s="16"/>
      <c r="C36" s="16"/>
      <c r="D36" s="16"/>
      <c r="E36" s="16"/>
      <c r="F36" s="16"/>
      <c r="G36" s="16"/>
      <c r="H36" s="17"/>
      <c r="I36" s="16"/>
      <c r="J36" s="16"/>
      <c r="K36" s="21"/>
    </row>
    <row r="37" spans="1:11" ht="12" customHeight="1" x14ac:dyDescent="0.2">
      <c r="A37" s="22" t="s">
        <v>37</v>
      </c>
      <c r="B37" s="16">
        <f>B15+B35</f>
        <v>294839</v>
      </c>
      <c r="C37" s="16">
        <f>SUM(D37:G37)</f>
        <v>56049</v>
      </c>
      <c r="D37" s="16">
        <f>D15+D35</f>
        <v>29251</v>
      </c>
      <c r="E37" s="16">
        <f>E15+E35</f>
        <v>19985</v>
      </c>
      <c r="F37" s="16">
        <f>F15+F35</f>
        <v>5323</v>
      </c>
      <c r="G37" s="16">
        <f>G15+G35</f>
        <v>1490</v>
      </c>
      <c r="H37" s="17">
        <v>1.6344091776838123</v>
      </c>
      <c r="I37" s="16">
        <f>I15+I35</f>
        <v>45996</v>
      </c>
      <c r="J37" s="16">
        <f>J15+J35</f>
        <v>10053</v>
      </c>
      <c r="K37" s="21">
        <f>+J37/C37*100</f>
        <v>17.936091634105871</v>
      </c>
    </row>
    <row r="38" spans="1:11" ht="12" customHeight="1" x14ac:dyDescent="0.2">
      <c r="A38" s="23" t="s">
        <v>38</v>
      </c>
      <c r="B38" s="18"/>
      <c r="C38" s="15"/>
      <c r="D38" s="15"/>
      <c r="E38" s="15"/>
      <c r="F38" s="15"/>
      <c r="G38" s="24"/>
      <c r="H38" s="15"/>
      <c r="I38" s="15"/>
      <c r="J38" s="15"/>
      <c r="K38" s="15"/>
    </row>
    <row r="39" spans="1:11" ht="12" customHeight="1" x14ac:dyDescent="0.2">
      <c r="A39" s="19" t="s">
        <v>55</v>
      </c>
      <c r="B39" s="15"/>
      <c r="C39" s="15"/>
      <c r="D39" s="15"/>
      <c r="E39" s="15"/>
      <c r="F39" s="15"/>
      <c r="G39" s="24"/>
      <c r="H39" s="15"/>
      <c r="I39" s="15"/>
      <c r="J39" s="15"/>
      <c r="K39" s="15"/>
    </row>
    <row r="40" spans="1:11" ht="12" customHeight="1" x14ac:dyDescent="0.2"/>
    <row r="41" spans="1:11" ht="12" customHeight="1" x14ac:dyDescent="0.2"/>
    <row r="42" spans="1:11" ht="12" customHeight="1" x14ac:dyDescent="0.2"/>
    <row r="43" spans="1:11" ht="12" customHeight="1" x14ac:dyDescent="0.2"/>
    <row r="44" spans="1:11" ht="12" customHeight="1" x14ac:dyDescent="0.2"/>
    <row r="45" spans="1:11" ht="12" customHeight="1" x14ac:dyDescent="0.2"/>
    <row r="46" spans="1:11" ht="12" customHeight="1" x14ac:dyDescent="0.2"/>
    <row r="47" spans="1:11" ht="12" customHeight="1" x14ac:dyDescent="0.2"/>
    <row r="48" spans="1:11" ht="12" customHeight="1" x14ac:dyDescent="0.2"/>
    <row r="49" s="2" customFormat="1" ht="11.25" x14ac:dyDescent="0.2"/>
    <row r="50" s="2" customFormat="1" ht="11.25" x14ac:dyDescent="0.2"/>
    <row r="51" ht="11.25" x14ac:dyDescent="0.2"/>
    <row r="52" ht="11.25" x14ac:dyDescent="0.2"/>
    <row r="67" spans="1:1" ht="12.75" customHeight="1" x14ac:dyDescent="0.2">
      <c r="A67" s="2"/>
    </row>
  </sheetData>
  <mergeCells count="4">
    <mergeCell ref="A6:A8"/>
    <mergeCell ref="B6:B8"/>
    <mergeCell ref="C7:C8"/>
    <mergeCell ref="I7:I8"/>
  </mergeCells>
  <phoneticPr fontId="0" type="noConversion"/>
  <pageMargins left="0.59055118110236227" right="0.59055118110236227" top="0.59055118110236227" bottom="0.59055118110236227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4"/>
  <dimension ref="A1:K67"/>
  <sheetViews>
    <sheetView workbookViewId="0">
      <selection activeCell="M1" sqref="M1:N65536"/>
    </sheetView>
  </sheetViews>
  <sheetFormatPr baseColWidth="10" defaultColWidth="9.83203125" defaultRowHeight="12.75" customHeight="1" x14ac:dyDescent="0.2"/>
  <cols>
    <col min="1" max="1" width="20.83203125" customWidth="1"/>
    <col min="2" max="4" width="9.6640625" customWidth="1"/>
    <col min="5" max="9" width="9" customWidth="1"/>
    <col min="10" max="10" width="9.6640625" customWidth="1"/>
    <col min="11" max="11" width="10" customWidth="1"/>
  </cols>
  <sheetData>
    <row r="1" spans="1:11" ht="12.75" customHeight="1" x14ac:dyDescent="0.2">
      <c r="A1" s="3" t="s">
        <v>52</v>
      </c>
      <c r="B1" s="3"/>
      <c r="C1" s="3"/>
      <c r="D1" s="3"/>
      <c r="E1" s="3"/>
      <c r="F1" s="3"/>
      <c r="G1" s="3"/>
      <c r="H1" s="1"/>
      <c r="I1" s="1"/>
      <c r="J1" s="1"/>
      <c r="K1" s="1"/>
    </row>
    <row r="3" spans="1:11" ht="12" customHeight="1" x14ac:dyDescent="0.2">
      <c r="A3" s="25" t="s">
        <v>64</v>
      </c>
      <c r="B3" s="26"/>
      <c r="C3" s="26"/>
      <c r="D3" s="26"/>
      <c r="E3" s="26"/>
      <c r="F3" s="26"/>
      <c r="G3" s="26"/>
      <c r="H3" s="26"/>
      <c r="I3" s="26"/>
      <c r="J3" s="26"/>
      <c r="K3" s="26"/>
    </row>
    <row r="4" spans="1:11" ht="12" customHeight="1" x14ac:dyDescent="0.2">
      <c r="A4" s="25" t="s">
        <v>0</v>
      </c>
      <c r="B4" s="26"/>
      <c r="C4" s="26"/>
      <c r="D4" s="26"/>
      <c r="E4" s="26"/>
      <c r="F4" s="26"/>
      <c r="G4" s="26"/>
      <c r="H4" s="26"/>
      <c r="I4" s="26"/>
      <c r="J4" s="26"/>
      <c r="K4" s="26"/>
    </row>
    <row r="5" spans="1:11" ht="12" customHeight="1" x14ac:dyDescent="0.2">
      <c r="A5" s="4"/>
      <c r="B5" s="5"/>
      <c r="C5" s="5"/>
      <c r="D5" s="5"/>
      <c r="E5" s="5"/>
      <c r="F5" s="5"/>
      <c r="G5" s="5"/>
      <c r="H5" s="5"/>
      <c r="I5" s="5"/>
      <c r="J5" s="5"/>
      <c r="K5" s="5"/>
    </row>
    <row r="6" spans="1:11" ht="12" customHeight="1" x14ac:dyDescent="0.2">
      <c r="A6" s="189" t="s">
        <v>2</v>
      </c>
      <c r="B6" s="190" t="s">
        <v>86</v>
      </c>
      <c r="C6" s="6" t="s">
        <v>1</v>
      </c>
      <c r="D6" s="6"/>
      <c r="E6" s="6"/>
      <c r="F6" s="6"/>
      <c r="G6" s="6"/>
      <c r="H6" s="6"/>
      <c r="I6" s="6"/>
      <c r="J6" s="6"/>
      <c r="K6" s="6"/>
    </row>
    <row r="7" spans="1:11" ht="12" customHeight="1" x14ac:dyDescent="0.2">
      <c r="A7" s="187"/>
      <c r="B7" s="176"/>
      <c r="C7" s="191" t="s">
        <v>3</v>
      </c>
      <c r="D7" s="6" t="s">
        <v>4</v>
      </c>
      <c r="E7" s="6"/>
      <c r="F7" s="6"/>
      <c r="G7" s="6"/>
      <c r="H7" s="7" t="s">
        <v>5</v>
      </c>
      <c r="I7" s="191" t="s">
        <v>6</v>
      </c>
      <c r="J7" s="8" t="s">
        <v>7</v>
      </c>
      <c r="K7" s="6"/>
    </row>
    <row r="8" spans="1:11" ht="12" customHeight="1" x14ac:dyDescent="0.2">
      <c r="A8" s="188"/>
      <c r="B8" s="177"/>
      <c r="C8" s="179"/>
      <c r="D8" s="85">
        <v>1</v>
      </c>
      <c r="E8" s="86">
        <v>2</v>
      </c>
      <c r="F8" s="11">
        <v>3</v>
      </c>
      <c r="G8" s="12" t="s">
        <v>8</v>
      </c>
      <c r="H8" s="13" t="s">
        <v>9</v>
      </c>
      <c r="I8" s="179"/>
      <c r="J8" s="10" t="s">
        <v>10</v>
      </c>
      <c r="K8" s="14" t="s">
        <v>11</v>
      </c>
    </row>
    <row r="9" spans="1:11" ht="12" customHeight="1" x14ac:dyDescent="0.2">
      <c r="A9" s="9"/>
      <c r="B9" s="15"/>
      <c r="C9" s="15"/>
      <c r="D9" s="15"/>
      <c r="E9" s="15"/>
      <c r="F9" s="15"/>
      <c r="G9" s="15"/>
      <c r="H9" s="15"/>
      <c r="I9" s="15"/>
      <c r="J9" s="15"/>
      <c r="K9" s="15"/>
    </row>
    <row r="10" spans="1:11" ht="12" customHeight="1" x14ac:dyDescent="0.2">
      <c r="A10" s="20" t="s">
        <v>12</v>
      </c>
      <c r="B10" s="16">
        <v>13644</v>
      </c>
      <c r="C10" s="16">
        <f>SUM(D10:G10)</f>
        <v>1857</v>
      </c>
      <c r="D10" s="16">
        <v>1083</v>
      </c>
      <c r="E10" s="16">
        <v>564</v>
      </c>
      <c r="F10" s="16">
        <v>153</v>
      </c>
      <c r="G10" s="16">
        <v>57</v>
      </c>
      <c r="H10" s="17">
        <v>1.5783521809369951</v>
      </c>
      <c r="I10" s="16">
        <v>1474</v>
      </c>
      <c r="J10" s="16">
        <v>383</v>
      </c>
      <c r="K10" s="21">
        <f t="shared" ref="K10:K15" si="0">+J10/C10*100</f>
        <v>20.624663435648895</v>
      </c>
    </row>
    <row r="11" spans="1:11" ht="12" customHeight="1" x14ac:dyDescent="0.2">
      <c r="A11" s="20" t="s">
        <v>13</v>
      </c>
      <c r="B11" s="16">
        <v>12947</v>
      </c>
      <c r="C11" s="16">
        <f>SUM(D11:G11)</f>
        <v>2208</v>
      </c>
      <c r="D11" s="16">
        <v>1186</v>
      </c>
      <c r="E11" s="16">
        <v>749</v>
      </c>
      <c r="F11" s="16">
        <v>202</v>
      </c>
      <c r="G11" s="16">
        <v>71</v>
      </c>
      <c r="H11" s="17">
        <v>1.6277173913043479</v>
      </c>
      <c r="I11" s="16">
        <v>1819</v>
      </c>
      <c r="J11" s="16">
        <v>389</v>
      </c>
      <c r="K11" s="21">
        <f t="shared" si="0"/>
        <v>17.617753623188406</v>
      </c>
    </row>
    <row r="12" spans="1:11" ht="12" customHeight="1" x14ac:dyDescent="0.2">
      <c r="A12" s="20" t="s">
        <v>14</v>
      </c>
      <c r="B12" s="16">
        <v>26307</v>
      </c>
      <c r="C12" s="16">
        <f>SUM(D12:G12)</f>
        <v>4955</v>
      </c>
      <c r="D12" s="16">
        <v>2716</v>
      </c>
      <c r="E12" s="16">
        <v>1706</v>
      </c>
      <c r="F12" s="16">
        <v>430</v>
      </c>
      <c r="G12" s="16">
        <v>103</v>
      </c>
      <c r="H12" s="17">
        <v>1.5870837537840565</v>
      </c>
      <c r="I12" s="16">
        <v>3890</v>
      </c>
      <c r="J12" s="16">
        <v>1065</v>
      </c>
      <c r="K12" s="21">
        <f t="shared" si="0"/>
        <v>21.493440968718467</v>
      </c>
    </row>
    <row r="13" spans="1:11" ht="12" customHeight="1" x14ac:dyDescent="0.2">
      <c r="A13" s="20" t="s">
        <v>15</v>
      </c>
      <c r="B13" s="16">
        <v>24115</v>
      </c>
      <c r="C13" s="16">
        <f>SUM(D13:G13)</f>
        <v>4136</v>
      </c>
      <c r="D13" s="16">
        <v>2308</v>
      </c>
      <c r="E13" s="16">
        <v>1381</v>
      </c>
      <c r="F13" s="16">
        <v>342</v>
      </c>
      <c r="G13" s="16">
        <v>105</v>
      </c>
      <c r="H13" s="17">
        <v>1.5824468085106382</v>
      </c>
      <c r="I13" s="16">
        <v>3333</v>
      </c>
      <c r="J13" s="16">
        <v>803</v>
      </c>
      <c r="K13" s="21">
        <f t="shared" si="0"/>
        <v>19.414893617021274</v>
      </c>
    </row>
    <row r="14" spans="1:11" ht="12" customHeight="1" x14ac:dyDescent="0.2">
      <c r="A14" s="20" t="s">
        <v>16</v>
      </c>
      <c r="B14" s="16">
        <v>29503</v>
      </c>
      <c r="C14" s="16">
        <f>SUM(D14:G14)</f>
        <v>4424</v>
      </c>
      <c r="D14" s="16">
        <v>2507</v>
      </c>
      <c r="E14" s="16">
        <v>1485</v>
      </c>
      <c r="F14" s="16">
        <v>357</v>
      </c>
      <c r="G14" s="16">
        <v>75</v>
      </c>
      <c r="H14" s="17">
        <v>1.5524412296564196</v>
      </c>
      <c r="I14" s="16">
        <v>3487</v>
      </c>
      <c r="J14" s="16">
        <v>937</v>
      </c>
      <c r="K14" s="21">
        <f t="shared" si="0"/>
        <v>21.179927667269439</v>
      </c>
    </row>
    <row r="15" spans="1:11" ht="12" customHeight="1" x14ac:dyDescent="0.2">
      <c r="A15" s="22" t="s">
        <v>17</v>
      </c>
      <c r="B15" s="16">
        <f t="shared" ref="B15:G15" si="1">SUM(B10:B14)</f>
        <v>106516</v>
      </c>
      <c r="C15" s="16">
        <f t="shared" si="1"/>
        <v>17580</v>
      </c>
      <c r="D15" s="16">
        <f t="shared" si="1"/>
        <v>9800</v>
      </c>
      <c r="E15" s="16">
        <f t="shared" si="1"/>
        <v>5885</v>
      </c>
      <c r="F15" s="16">
        <f t="shared" si="1"/>
        <v>1484</v>
      </c>
      <c r="G15" s="16">
        <f t="shared" si="1"/>
        <v>411</v>
      </c>
      <c r="H15" s="17">
        <v>1.5814562002275312</v>
      </c>
      <c r="I15" s="16">
        <f>SUM(I10:I14)</f>
        <v>14003</v>
      </c>
      <c r="J15" s="16">
        <f>SUM(J10:J14)</f>
        <v>3577</v>
      </c>
      <c r="K15" s="21">
        <f t="shared" si="0"/>
        <v>20.346985210466439</v>
      </c>
    </row>
    <row r="16" spans="1:11" ht="12" customHeight="1" x14ac:dyDescent="0.2">
      <c r="A16" s="9"/>
      <c r="B16" s="16"/>
      <c r="C16" s="16"/>
      <c r="D16" s="16"/>
      <c r="E16" s="16"/>
      <c r="F16" s="16"/>
      <c r="G16" s="16"/>
      <c r="H16" s="17"/>
      <c r="I16" s="16"/>
      <c r="J16" s="16"/>
      <c r="K16" s="21"/>
    </row>
    <row r="17" spans="1:11" ht="12" customHeight="1" x14ac:dyDescent="0.2">
      <c r="A17" s="20" t="s">
        <v>18</v>
      </c>
      <c r="B17" s="16">
        <v>31319</v>
      </c>
      <c r="C17" s="16">
        <f t="shared" ref="C17:C34" si="2">SUM(D17:G17)</f>
        <v>6659</v>
      </c>
      <c r="D17" s="16">
        <v>3404</v>
      </c>
      <c r="E17" s="16">
        <v>2339</v>
      </c>
      <c r="F17" s="16">
        <v>708</v>
      </c>
      <c r="G17" s="16">
        <v>208</v>
      </c>
      <c r="H17" s="17">
        <v>1.6676678179906892</v>
      </c>
      <c r="I17" s="16">
        <v>5511</v>
      </c>
      <c r="J17" s="16">
        <v>1148</v>
      </c>
      <c r="K17" s="21">
        <f t="shared" ref="K17:K35" si="3">+J17/C17*100</f>
        <v>17.239825799669621</v>
      </c>
    </row>
    <row r="18" spans="1:11" ht="12" customHeight="1" x14ac:dyDescent="0.2">
      <c r="A18" s="20" t="s">
        <v>19</v>
      </c>
      <c r="B18" s="16">
        <v>3108</v>
      </c>
      <c r="C18" s="16">
        <f t="shared" si="2"/>
        <v>574</v>
      </c>
      <c r="D18" s="16">
        <v>267</v>
      </c>
      <c r="E18" s="16">
        <v>236</v>
      </c>
      <c r="F18" s="16">
        <v>55</v>
      </c>
      <c r="G18" s="16">
        <v>16</v>
      </c>
      <c r="H18" s="17">
        <v>1.6968641114982579</v>
      </c>
      <c r="I18" s="16">
        <v>493</v>
      </c>
      <c r="J18" s="16">
        <v>81</v>
      </c>
      <c r="K18" s="21">
        <f t="shared" si="3"/>
        <v>14.111498257839722</v>
      </c>
    </row>
    <row r="19" spans="1:11" ht="12" customHeight="1" x14ac:dyDescent="0.2">
      <c r="A19" s="20" t="s">
        <v>20</v>
      </c>
      <c r="B19" s="16">
        <v>6670</v>
      </c>
      <c r="C19" s="16">
        <f t="shared" si="2"/>
        <v>1278</v>
      </c>
      <c r="D19" s="16">
        <v>654</v>
      </c>
      <c r="E19" s="16">
        <v>469</v>
      </c>
      <c r="F19" s="16">
        <v>126</v>
      </c>
      <c r="G19" s="16">
        <v>29</v>
      </c>
      <c r="H19" s="17">
        <v>1.6431924882629108</v>
      </c>
      <c r="I19" s="16">
        <v>1078</v>
      </c>
      <c r="J19" s="16">
        <v>200</v>
      </c>
      <c r="K19" s="21">
        <f t="shared" si="3"/>
        <v>15.649452269170579</v>
      </c>
    </row>
    <row r="20" spans="1:11" ht="12" customHeight="1" x14ac:dyDescent="0.2">
      <c r="A20" s="20" t="s">
        <v>21</v>
      </c>
      <c r="B20" s="16">
        <v>8788</v>
      </c>
      <c r="C20" s="16">
        <f t="shared" si="2"/>
        <v>1489</v>
      </c>
      <c r="D20" s="16">
        <v>752</v>
      </c>
      <c r="E20" s="16">
        <v>572</v>
      </c>
      <c r="F20" s="16">
        <v>121</v>
      </c>
      <c r="G20" s="16">
        <v>44</v>
      </c>
      <c r="H20" s="17">
        <v>1.6453995970449966</v>
      </c>
      <c r="I20" s="16">
        <v>1255</v>
      </c>
      <c r="J20" s="16">
        <v>234</v>
      </c>
      <c r="K20" s="21">
        <f t="shared" si="3"/>
        <v>15.715245130960376</v>
      </c>
    </row>
    <row r="21" spans="1:11" ht="12" customHeight="1" x14ac:dyDescent="0.2">
      <c r="A21" s="20" t="s">
        <v>22</v>
      </c>
      <c r="B21" s="16">
        <v>14382</v>
      </c>
      <c r="C21" s="16">
        <f t="shared" si="2"/>
        <v>2658</v>
      </c>
      <c r="D21" s="16">
        <v>1389</v>
      </c>
      <c r="E21" s="16">
        <v>936</v>
      </c>
      <c r="F21" s="16">
        <v>251</v>
      </c>
      <c r="G21" s="16">
        <v>82</v>
      </c>
      <c r="H21" s="17">
        <v>1.6433408577878104</v>
      </c>
      <c r="I21" s="16">
        <v>2244</v>
      </c>
      <c r="J21" s="16">
        <v>414</v>
      </c>
      <c r="K21" s="21">
        <f t="shared" si="3"/>
        <v>15.575620767494355</v>
      </c>
    </row>
    <row r="22" spans="1:11" ht="12" customHeight="1" x14ac:dyDescent="0.2">
      <c r="A22" s="20" t="s">
        <v>23</v>
      </c>
      <c r="B22" s="16">
        <v>4525</v>
      </c>
      <c r="C22" s="16">
        <f t="shared" si="2"/>
        <v>1009</v>
      </c>
      <c r="D22" s="16">
        <v>511</v>
      </c>
      <c r="E22" s="16">
        <v>372</v>
      </c>
      <c r="F22" s="16">
        <v>102</v>
      </c>
      <c r="G22" s="16">
        <v>24</v>
      </c>
      <c r="H22" s="17">
        <v>1.6451932606541131</v>
      </c>
      <c r="I22" s="16">
        <v>852</v>
      </c>
      <c r="J22" s="16">
        <v>157</v>
      </c>
      <c r="K22" s="21">
        <f t="shared" si="3"/>
        <v>15.559960356788899</v>
      </c>
    </row>
    <row r="23" spans="1:11" ht="12" customHeight="1" x14ac:dyDescent="0.2">
      <c r="A23" s="20" t="s">
        <v>24</v>
      </c>
      <c r="B23" s="16">
        <v>14630</v>
      </c>
      <c r="C23" s="16">
        <f t="shared" si="2"/>
        <v>2711</v>
      </c>
      <c r="D23" s="16">
        <v>1354</v>
      </c>
      <c r="E23" s="16">
        <v>1031</v>
      </c>
      <c r="F23" s="16">
        <v>249</v>
      </c>
      <c r="G23" s="16">
        <v>77</v>
      </c>
      <c r="H23" s="17">
        <v>1.6599040944300996</v>
      </c>
      <c r="I23" s="16">
        <v>2276</v>
      </c>
      <c r="J23" s="16">
        <v>435</v>
      </c>
      <c r="K23" s="21">
        <f t="shared" si="3"/>
        <v>16.045739579490963</v>
      </c>
    </row>
    <row r="24" spans="1:11" ht="12" customHeight="1" x14ac:dyDescent="0.2">
      <c r="A24" s="20" t="s">
        <v>25</v>
      </c>
      <c r="B24" s="16">
        <v>11748</v>
      </c>
      <c r="C24" s="16">
        <f t="shared" si="2"/>
        <v>2905</v>
      </c>
      <c r="D24" s="16">
        <v>1400</v>
      </c>
      <c r="E24" s="16">
        <v>1095</v>
      </c>
      <c r="F24" s="16">
        <v>317</v>
      </c>
      <c r="G24" s="16">
        <v>93</v>
      </c>
      <c r="H24" s="17">
        <v>1.7025817555938039</v>
      </c>
      <c r="I24" s="16">
        <v>2450</v>
      </c>
      <c r="J24" s="16">
        <v>455</v>
      </c>
      <c r="K24" s="21">
        <f t="shared" si="3"/>
        <v>15.66265060240964</v>
      </c>
    </row>
    <row r="25" spans="1:11" ht="12" customHeight="1" x14ac:dyDescent="0.2">
      <c r="A25" s="20" t="s">
        <v>26</v>
      </c>
      <c r="B25" s="16">
        <v>3310</v>
      </c>
      <c r="C25" s="16">
        <f t="shared" si="2"/>
        <v>644</v>
      </c>
      <c r="D25" s="16">
        <v>362</v>
      </c>
      <c r="E25" s="16">
        <v>229</v>
      </c>
      <c r="F25" s="16">
        <v>38</v>
      </c>
      <c r="G25" s="16">
        <v>15</v>
      </c>
      <c r="H25" s="17">
        <v>1.5512422360248448</v>
      </c>
      <c r="I25" s="16">
        <v>538</v>
      </c>
      <c r="J25" s="16">
        <v>106</v>
      </c>
      <c r="K25" s="21">
        <f t="shared" si="3"/>
        <v>16.459627329192546</v>
      </c>
    </row>
    <row r="26" spans="1:11" ht="12" customHeight="1" x14ac:dyDescent="0.2">
      <c r="A26" s="20" t="s">
        <v>27</v>
      </c>
      <c r="B26" s="16">
        <v>3987</v>
      </c>
      <c r="C26" s="16">
        <f t="shared" si="2"/>
        <v>853</v>
      </c>
      <c r="D26" s="16">
        <v>439</v>
      </c>
      <c r="E26" s="16">
        <v>309</v>
      </c>
      <c r="F26" s="16">
        <v>82</v>
      </c>
      <c r="G26" s="16">
        <v>23</v>
      </c>
      <c r="H26" s="17">
        <v>1.6389214536928487</v>
      </c>
      <c r="I26" s="16">
        <v>720</v>
      </c>
      <c r="J26" s="16">
        <v>133</v>
      </c>
      <c r="K26" s="21">
        <f t="shared" si="3"/>
        <v>15.592028135990621</v>
      </c>
    </row>
    <row r="27" spans="1:11" ht="12" customHeight="1" x14ac:dyDescent="0.2">
      <c r="A27" s="20" t="s">
        <v>28</v>
      </c>
      <c r="B27" s="16">
        <v>6158</v>
      </c>
      <c r="C27" s="16">
        <f t="shared" si="2"/>
        <v>1012</v>
      </c>
      <c r="D27" s="16">
        <v>502</v>
      </c>
      <c r="E27" s="16">
        <v>391</v>
      </c>
      <c r="F27" s="16">
        <v>94</v>
      </c>
      <c r="G27" s="16">
        <v>25</v>
      </c>
      <c r="H27" s="17">
        <v>1.651185770750988</v>
      </c>
      <c r="I27" s="16">
        <v>854</v>
      </c>
      <c r="J27" s="16">
        <v>158</v>
      </c>
      <c r="K27" s="21">
        <f t="shared" si="3"/>
        <v>15.612648221343871</v>
      </c>
    </row>
    <row r="28" spans="1:11" ht="12" customHeight="1" x14ac:dyDescent="0.2">
      <c r="A28" s="20" t="s">
        <v>29</v>
      </c>
      <c r="B28" s="16">
        <v>11293</v>
      </c>
      <c r="C28" s="16">
        <f t="shared" si="2"/>
        <v>2366</v>
      </c>
      <c r="D28" s="16">
        <v>1151</v>
      </c>
      <c r="E28" s="16">
        <v>912</v>
      </c>
      <c r="F28" s="16">
        <v>228</v>
      </c>
      <c r="G28" s="16">
        <v>75</v>
      </c>
      <c r="H28" s="17">
        <v>1.6834319526627219</v>
      </c>
      <c r="I28" s="16">
        <v>2020</v>
      </c>
      <c r="J28" s="16">
        <v>346</v>
      </c>
      <c r="K28" s="21">
        <f t="shared" si="3"/>
        <v>14.623837700760777</v>
      </c>
    </row>
    <row r="29" spans="1:11" ht="12" customHeight="1" x14ac:dyDescent="0.2">
      <c r="A29" s="20" t="s">
        <v>30</v>
      </c>
      <c r="B29" s="16">
        <v>5207</v>
      </c>
      <c r="C29" s="16">
        <f t="shared" si="2"/>
        <v>1290</v>
      </c>
      <c r="D29" s="16">
        <v>643</v>
      </c>
      <c r="E29" s="16">
        <v>466</v>
      </c>
      <c r="F29" s="16">
        <v>137</v>
      </c>
      <c r="G29" s="16">
        <v>44</v>
      </c>
      <c r="H29" s="17">
        <v>1.6875968992248063</v>
      </c>
      <c r="I29" s="16">
        <v>1133</v>
      </c>
      <c r="J29" s="16">
        <v>157</v>
      </c>
      <c r="K29" s="21">
        <f t="shared" si="3"/>
        <v>12.170542635658915</v>
      </c>
    </row>
    <row r="30" spans="1:11" ht="12" customHeight="1" x14ac:dyDescent="0.2">
      <c r="A30" s="20" t="s">
        <v>31</v>
      </c>
      <c r="B30" s="16">
        <v>7939</v>
      </c>
      <c r="C30" s="16">
        <f t="shared" si="2"/>
        <v>1603</v>
      </c>
      <c r="D30" s="16">
        <v>840</v>
      </c>
      <c r="E30" s="16">
        <v>607</v>
      </c>
      <c r="F30" s="16">
        <v>132</v>
      </c>
      <c r="G30" s="16">
        <v>24</v>
      </c>
      <c r="H30" s="17">
        <v>1.5932626325639425</v>
      </c>
      <c r="I30" s="16">
        <v>1359</v>
      </c>
      <c r="J30" s="16">
        <v>244</v>
      </c>
      <c r="K30" s="21">
        <f t="shared" si="3"/>
        <v>15.221459762944479</v>
      </c>
    </row>
    <row r="31" spans="1:11" ht="12" customHeight="1" x14ac:dyDescent="0.2">
      <c r="A31" s="20" t="s">
        <v>32</v>
      </c>
      <c r="B31" s="16">
        <v>21566</v>
      </c>
      <c r="C31" s="16">
        <f t="shared" si="2"/>
        <v>3746</v>
      </c>
      <c r="D31" s="16">
        <v>1869</v>
      </c>
      <c r="E31" s="16">
        <v>1437</v>
      </c>
      <c r="F31" s="16">
        <v>340</v>
      </c>
      <c r="G31" s="16">
        <v>100</v>
      </c>
      <c r="H31" s="17">
        <v>1.6553657234383343</v>
      </c>
      <c r="I31" s="16">
        <v>3135</v>
      </c>
      <c r="J31" s="16">
        <v>611</v>
      </c>
      <c r="K31" s="21">
        <f t="shared" si="3"/>
        <v>16.31073144687667</v>
      </c>
    </row>
    <row r="32" spans="1:11" ht="12" customHeight="1" x14ac:dyDescent="0.2">
      <c r="A32" s="20" t="s">
        <v>33</v>
      </c>
      <c r="B32" s="16">
        <v>4574</v>
      </c>
      <c r="C32" s="16">
        <f t="shared" si="2"/>
        <v>905</v>
      </c>
      <c r="D32" s="16">
        <v>480</v>
      </c>
      <c r="E32" s="16">
        <v>345</v>
      </c>
      <c r="F32" s="16">
        <v>67</v>
      </c>
      <c r="G32" s="16">
        <v>13</v>
      </c>
      <c r="H32" s="17">
        <v>1.580110497237569</v>
      </c>
      <c r="I32" s="16">
        <v>741</v>
      </c>
      <c r="J32" s="16">
        <v>164</v>
      </c>
      <c r="K32" s="21">
        <f t="shared" si="3"/>
        <v>18.121546961325965</v>
      </c>
    </row>
    <row r="33" spans="1:11" ht="12" customHeight="1" x14ac:dyDescent="0.2">
      <c r="A33" s="20" t="s">
        <v>34</v>
      </c>
      <c r="B33" s="16">
        <v>13252</v>
      </c>
      <c r="C33" s="16">
        <f t="shared" si="2"/>
        <v>3095</v>
      </c>
      <c r="D33" s="16">
        <v>1453</v>
      </c>
      <c r="E33" s="16">
        <v>1197</v>
      </c>
      <c r="F33" s="16">
        <v>366</v>
      </c>
      <c r="G33" s="16">
        <v>79</v>
      </c>
      <c r="H33" s="17">
        <v>1.7069466882067852</v>
      </c>
      <c r="I33" s="16">
        <v>2649</v>
      </c>
      <c r="J33" s="16">
        <v>446</v>
      </c>
      <c r="K33" s="21">
        <f t="shared" si="3"/>
        <v>14.410339256865912</v>
      </c>
    </row>
    <row r="34" spans="1:11" ht="12" customHeight="1" x14ac:dyDescent="0.2">
      <c r="A34" s="20" t="s">
        <v>35</v>
      </c>
      <c r="B34" s="16">
        <v>17350</v>
      </c>
      <c r="C34" s="16">
        <f t="shared" si="2"/>
        <v>3780</v>
      </c>
      <c r="D34" s="16">
        <v>1986</v>
      </c>
      <c r="E34" s="16">
        <v>1346</v>
      </c>
      <c r="F34" s="16">
        <v>349</v>
      </c>
      <c r="G34" s="16">
        <v>99</v>
      </c>
      <c r="H34" s="17">
        <v>1.6243386243386244</v>
      </c>
      <c r="I34" s="16">
        <v>3144</v>
      </c>
      <c r="J34" s="16">
        <v>636</v>
      </c>
      <c r="K34" s="21">
        <f t="shared" si="3"/>
        <v>16.825396825396826</v>
      </c>
    </row>
    <row r="35" spans="1:11" ht="12" customHeight="1" x14ac:dyDescent="0.2">
      <c r="A35" s="22" t="s">
        <v>36</v>
      </c>
      <c r="B35" s="16">
        <f t="shared" ref="B35:G35" si="4">SUM(B17:B34)</f>
        <v>189806</v>
      </c>
      <c r="C35" s="16">
        <f t="shared" si="4"/>
        <v>38577</v>
      </c>
      <c r="D35" s="16">
        <f t="shared" si="4"/>
        <v>19456</v>
      </c>
      <c r="E35" s="16">
        <f t="shared" si="4"/>
        <v>14289</v>
      </c>
      <c r="F35" s="16">
        <f t="shared" si="4"/>
        <v>3762</v>
      </c>
      <c r="G35" s="16">
        <f t="shared" si="4"/>
        <v>1070</v>
      </c>
      <c r="H35" s="17">
        <v>1.6574383700132203</v>
      </c>
      <c r="I35" s="16">
        <f>SUM(I17:I34)</f>
        <v>32452</v>
      </c>
      <c r="J35" s="16">
        <f>SUM(J17:J34)</f>
        <v>6125</v>
      </c>
      <c r="K35" s="21">
        <f t="shared" si="3"/>
        <v>15.877336236617673</v>
      </c>
    </row>
    <row r="36" spans="1:11" ht="12" customHeight="1" x14ac:dyDescent="0.2">
      <c r="A36" s="9"/>
      <c r="B36" s="16"/>
      <c r="C36" s="16"/>
      <c r="D36" s="16"/>
      <c r="E36" s="16"/>
      <c r="F36" s="16"/>
      <c r="G36" s="16"/>
      <c r="H36" s="17"/>
      <c r="I36" s="16"/>
      <c r="J36" s="16"/>
      <c r="K36" s="21"/>
    </row>
    <row r="37" spans="1:11" ht="12" customHeight="1" x14ac:dyDescent="0.2">
      <c r="A37" s="22" t="s">
        <v>37</v>
      </c>
      <c r="B37" s="16">
        <f>B15+B35</f>
        <v>296322</v>
      </c>
      <c r="C37" s="16">
        <f>SUM(D37:G37)</f>
        <v>56157</v>
      </c>
      <c r="D37" s="16">
        <f>D15+D35</f>
        <v>29256</v>
      </c>
      <c r="E37" s="16">
        <f>E15+E35</f>
        <v>20174</v>
      </c>
      <c r="F37" s="16">
        <f>F15+F35</f>
        <v>5246</v>
      </c>
      <c r="G37" s="16">
        <f>G15+G35</f>
        <v>1481</v>
      </c>
      <c r="H37" s="17">
        <v>1.6336520825542675</v>
      </c>
      <c r="I37" s="16">
        <f>I15+I35</f>
        <v>46455</v>
      </c>
      <c r="J37" s="16">
        <f>J15+J35</f>
        <v>9702</v>
      </c>
      <c r="K37" s="21">
        <f>+J37/C37*100</f>
        <v>17.276563919012769</v>
      </c>
    </row>
    <row r="38" spans="1:11" ht="12" customHeight="1" x14ac:dyDescent="0.2">
      <c r="A38" s="23" t="s">
        <v>38</v>
      </c>
      <c r="B38" s="18"/>
      <c r="C38" s="15"/>
      <c r="D38" s="15"/>
      <c r="E38" s="15"/>
      <c r="F38" s="15"/>
      <c r="G38" s="24"/>
      <c r="H38" s="15"/>
      <c r="I38" s="15"/>
      <c r="J38" s="15"/>
      <c r="K38" s="15"/>
    </row>
    <row r="39" spans="1:11" ht="12" customHeight="1" x14ac:dyDescent="0.2">
      <c r="A39" s="19" t="s">
        <v>55</v>
      </c>
      <c r="B39" s="15"/>
      <c r="C39" s="15"/>
      <c r="D39" s="15"/>
      <c r="E39" s="15"/>
      <c r="F39" s="15"/>
      <c r="G39" s="24"/>
      <c r="H39" s="15"/>
      <c r="I39" s="15"/>
      <c r="J39" s="15"/>
      <c r="K39" s="15"/>
    </row>
    <row r="40" spans="1:11" ht="12" customHeight="1" x14ac:dyDescent="0.2"/>
    <row r="41" spans="1:11" ht="12" customHeight="1" x14ac:dyDescent="0.2"/>
    <row r="42" spans="1:11" ht="12" customHeight="1" x14ac:dyDescent="0.2"/>
    <row r="43" spans="1:11" ht="12" customHeight="1" x14ac:dyDescent="0.2"/>
    <row r="44" spans="1:11" ht="12" customHeight="1" x14ac:dyDescent="0.2"/>
    <row r="45" spans="1:11" ht="12" customHeight="1" x14ac:dyDescent="0.2"/>
    <row r="46" spans="1:11" ht="12" customHeight="1" x14ac:dyDescent="0.2"/>
    <row r="47" spans="1:11" ht="12" customHeight="1" x14ac:dyDescent="0.2"/>
    <row r="48" spans="1:11" ht="12" customHeight="1" x14ac:dyDescent="0.2"/>
    <row r="49" s="2" customFormat="1" ht="11.25" x14ac:dyDescent="0.2"/>
    <row r="50" s="2" customFormat="1" ht="11.25" x14ac:dyDescent="0.2"/>
    <row r="51" ht="11.25" x14ac:dyDescent="0.2"/>
    <row r="52" ht="11.25" x14ac:dyDescent="0.2"/>
    <row r="67" spans="1:1" ht="12.75" customHeight="1" x14ac:dyDescent="0.2">
      <c r="A67" s="2"/>
    </row>
  </sheetData>
  <mergeCells count="4">
    <mergeCell ref="A6:A8"/>
    <mergeCell ref="B6:B8"/>
    <mergeCell ref="C7:C8"/>
    <mergeCell ref="I7:I8"/>
  </mergeCells>
  <phoneticPr fontId="0" type="noConversion"/>
  <pageMargins left="0.59055118110236227" right="0.59055118110236227" top="0.59055118110236227" bottom="0.59055118110236227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5"/>
  <dimension ref="A1:K67"/>
  <sheetViews>
    <sheetView workbookViewId="0">
      <selection activeCell="T39" sqref="T39"/>
    </sheetView>
  </sheetViews>
  <sheetFormatPr baseColWidth="10" defaultColWidth="9.83203125" defaultRowHeight="12.75" customHeight="1" x14ac:dyDescent="0.2"/>
  <cols>
    <col min="1" max="1" width="20.83203125" customWidth="1"/>
    <col min="2" max="4" width="9.6640625" customWidth="1"/>
    <col min="5" max="9" width="9" customWidth="1"/>
    <col min="10" max="10" width="9.6640625" customWidth="1"/>
    <col min="11" max="11" width="10" customWidth="1"/>
  </cols>
  <sheetData>
    <row r="1" spans="1:11" ht="12.75" customHeight="1" x14ac:dyDescent="0.2">
      <c r="A1" s="3" t="s">
        <v>52</v>
      </c>
      <c r="B1" s="3"/>
      <c r="C1" s="3"/>
      <c r="D1" s="3"/>
      <c r="E1" s="3"/>
      <c r="F1" s="3"/>
      <c r="G1" s="3"/>
      <c r="H1" s="1"/>
      <c r="I1" s="1"/>
      <c r="J1" s="1"/>
      <c r="K1" s="1"/>
    </row>
    <row r="3" spans="1:11" ht="12" customHeight="1" x14ac:dyDescent="0.2">
      <c r="A3" s="25" t="s">
        <v>65</v>
      </c>
      <c r="B3" s="26"/>
      <c r="C3" s="26"/>
      <c r="D3" s="26"/>
      <c r="E3" s="26"/>
      <c r="F3" s="26"/>
      <c r="G3" s="26"/>
      <c r="H3" s="26"/>
      <c r="I3" s="26"/>
      <c r="J3" s="26"/>
      <c r="K3" s="26"/>
    </row>
    <row r="4" spans="1:11" ht="12" customHeight="1" x14ac:dyDescent="0.2">
      <c r="A4" s="25" t="s">
        <v>0</v>
      </c>
      <c r="B4" s="26"/>
      <c r="C4" s="26"/>
      <c r="D4" s="26"/>
      <c r="E4" s="26"/>
      <c r="F4" s="26"/>
      <c r="G4" s="26"/>
      <c r="H4" s="26"/>
      <c r="I4" s="26"/>
      <c r="J4" s="26"/>
      <c r="K4" s="26"/>
    </row>
    <row r="5" spans="1:11" ht="12" customHeight="1" x14ac:dyDescent="0.2">
      <c r="A5" s="4"/>
      <c r="B5" s="5"/>
      <c r="C5" s="5"/>
      <c r="D5" s="5"/>
      <c r="E5" s="5"/>
      <c r="F5" s="5"/>
      <c r="G5" s="5"/>
      <c r="H5" s="5"/>
      <c r="I5" s="5"/>
      <c r="J5" s="5"/>
      <c r="K5" s="5"/>
    </row>
    <row r="6" spans="1:11" ht="12" customHeight="1" x14ac:dyDescent="0.2">
      <c r="A6" s="189" t="s">
        <v>2</v>
      </c>
      <c r="B6" s="190" t="s">
        <v>86</v>
      </c>
      <c r="C6" s="6" t="s">
        <v>1</v>
      </c>
      <c r="D6" s="6"/>
      <c r="E6" s="6"/>
      <c r="F6" s="6"/>
      <c r="G6" s="6"/>
      <c r="H6" s="6"/>
      <c r="I6" s="6"/>
      <c r="J6" s="6"/>
      <c r="K6" s="6"/>
    </row>
    <row r="7" spans="1:11" ht="12" customHeight="1" x14ac:dyDescent="0.2">
      <c r="A7" s="187"/>
      <c r="B7" s="176"/>
      <c r="C7" s="191" t="s">
        <v>3</v>
      </c>
      <c r="D7" s="6" t="s">
        <v>4</v>
      </c>
      <c r="E7" s="6"/>
      <c r="F7" s="6"/>
      <c r="G7" s="6"/>
      <c r="H7" s="7" t="s">
        <v>5</v>
      </c>
      <c r="I7" s="191" t="s">
        <v>6</v>
      </c>
      <c r="J7" s="8" t="s">
        <v>7</v>
      </c>
      <c r="K7" s="6"/>
    </row>
    <row r="8" spans="1:11" ht="12" customHeight="1" x14ac:dyDescent="0.2">
      <c r="A8" s="188"/>
      <c r="B8" s="177"/>
      <c r="C8" s="179"/>
      <c r="D8" s="85">
        <v>1</v>
      </c>
      <c r="E8" s="86">
        <v>2</v>
      </c>
      <c r="F8" s="11">
        <v>3</v>
      </c>
      <c r="G8" s="12" t="s">
        <v>8</v>
      </c>
      <c r="H8" s="13" t="s">
        <v>9</v>
      </c>
      <c r="I8" s="179"/>
      <c r="J8" s="10" t="s">
        <v>10</v>
      </c>
      <c r="K8" s="14" t="s">
        <v>11</v>
      </c>
    </row>
    <row r="9" spans="1:11" ht="12" customHeight="1" x14ac:dyDescent="0.2">
      <c r="A9" s="9"/>
      <c r="B9" s="15"/>
      <c r="C9" s="15"/>
      <c r="D9" s="15"/>
      <c r="E9" s="15"/>
      <c r="F9" s="15"/>
      <c r="G9" s="15"/>
      <c r="H9" s="15"/>
      <c r="I9" s="15"/>
      <c r="J9" s="15"/>
      <c r="K9" s="15"/>
    </row>
    <row r="10" spans="1:11" ht="12" customHeight="1" x14ac:dyDescent="0.2">
      <c r="A10" s="20" t="s">
        <v>12</v>
      </c>
      <c r="B10" s="16">
        <v>13811</v>
      </c>
      <c r="C10" s="16">
        <f>SUM(D10:G10)</f>
        <v>1947</v>
      </c>
      <c r="D10" s="16">
        <v>1123</v>
      </c>
      <c r="E10" s="16">
        <v>614</v>
      </c>
      <c r="F10" s="16">
        <v>153</v>
      </c>
      <c r="G10" s="16">
        <v>57</v>
      </c>
      <c r="H10" s="17">
        <v>1.576271186440678</v>
      </c>
      <c r="I10" s="16">
        <v>1553</v>
      </c>
      <c r="J10" s="16">
        <v>394</v>
      </c>
      <c r="K10" s="21">
        <f t="shared" ref="K10:K15" si="0">+J10/C10*100</f>
        <v>20.236260914227017</v>
      </c>
    </row>
    <row r="11" spans="1:11" ht="12" customHeight="1" x14ac:dyDescent="0.2">
      <c r="A11" s="20" t="s">
        <v>13</v>
      </c>
      <c r="B11" s="16">
        <v>12919</v>
      </c>
      <c r="C11" s="16">
        <f>SUM(D11:G11)</f>
        <v>2210</v>
      </c>
      <c r="D11" s="16">
        <v>1176</v>
      </c>
      <c r="E11" s="16">
        <v>776</v>
      </c>
      <c r="F11" s="16">
        <v>189</v>
      </c>
      <c r="G11" s="16">
        <v>69</v>
      </c>
      <c r="H11" s="17">
        <v>1.6226244343891403</v>
      </c>
      <c r="I11" s="16">
        <v>1829</v>
      </c>
      <c r="J11" s="16">
        <v>381</v>
      </c>
      <c r="K11" s="21">
        <f t="shared" si="0"/>
        <v>17.239819004524886</v>
      </c>
    </row>
    <row r="12" spans="1:11" ht="12" customHeight="1" x14ac:dyDescent="0.2">
      <c r="A12" s="20" t="s">
        <v>14</v>
      </c>
      <c r="B12" s="16">
        <v>26478</v>
      </c>
      <c r="C12" s="16">
        <f>SUM(D12:G12)</f>
        <v>4961</v>
      </c>
      <c r="D12" s="16">
        <v>2713</v>
      </c>
      <c r="E12" s="16">
        <v>1711</v>
      </c>
      <c r="F12" s="16">
        <v>446</v>
      </c>
      <c r="G12" s="16">
        <v>91</v>
      </c>
      <c r="H12" s="17">
        <v>1.5865752872404757</v>
      </c>
      <c r="I12" s="16">
        <v>3936</v>
      </c>
      <c r="J12" s="16">
        <v>1025</v>
      </c>
      <c r="K12" s="21">
        <f t="shared" si="0"/>
        <v>20.66115702479339</v>
      </c>
    </row>
    <row r="13" spans="1:11" ht="12" customHeight="1" x14ac:dyDescent="0.2">
      <c r="A13" s="20" t="s">
        <v>15</v>
      </c>
      <c r="B13" s="16">
        <v>24525</v>
      </c>
      <c r="C13" s="16">
        <f>SUM(D13:G13)</f>
        <v>4258</v>
      </c>
      <c r="D13" s="16">
        <v>2372</v>
      </c>
      <c r="E13" s="16">
        <v>1415</v>
      </c>
      <c r="F13" s="16">
        <v>367</v>
      </c>
      <c r="G13" s="16">
        <v>104</v>
      </c>
      <c r="H13" s="17">
        <v>1.5864255519023016</v>
      </c>
      <c r="I13" s="16">
        <v>3429</v>
      </c>
      <c r="J13" s="16">
        <v>829</v>
      </c>
      <c r="K13" s="21">
        <f t="shared" si="0"/>
        <v>19.469234382339128</v>
      </c>
    </row>
    <row r="14" spans="1:11" ht="12" customHeight="1" x14ac:dyDescent="0.2">
      <c r="A14" s="20" t="s">
        <v>16</v>
      </c>
      <c r="B14" s="16">
        <v>29874</v>
      </c>
      <c r="C14" s="16">
        <f>SUM(D14:G14)</f>
        <v>4521</v>
      </c>
      <c r="D14" s="16">
        <v>2557</v>
      </c>
      <c r="E14" s="16">
        <v>1514</v>
      </c>
      <c r="F14" s="16">
        <v>366</v>
      </c>
      <c r="G14" s="16">
        <v>84</v>
      </c>
      <c r="H14" s="17">
        <v>1.557398805573988</v>
      </c>
      <c r="I14" s="16">
        <v>3562</v>
      </c>
      <c r="J14" s="16">
        <v>959</v>
      </c>
      <c r="K14" s="21">
        <f t="shared" si="0"/>
        <v>21.212121212121211</v>
      </c>
    </row>
    <row r="15" spans="1:11" ht="12" customHeight="1" x14ac:dyDescent="0.2">
      <c r="A15" s="22" t="s">
        <v>17</v>
      </c>
      <c r="B15" s="16">
        <f t="shared" ref="B15:G15" si="1">SUM(B10:B14)</f>
        <v>107607</v>
      </c>
      <c r="C15" s="16">
        <f t="shared" si="1"/>
        <v>17897</v>
      </c>
      <c r="D15" s="16">
        <f t="shared" si="1"/>
        <v>9941</v>
      </c>
      <c r="E15" s="16">
        <f t="shared" si="1"/>
        <v>6030</v>
      </c>
      <c r="F15" s="16">
        <f t="shared" si="1"/>
        <v>1521</v>
      </c>
      <c r="G15" s="16">
        <f t="shared" si="1"/>
        <v>405</v>
      </c>
      <c r="H15" s="17">
        <v>1.5824998603117841</v>
      </c>
      <c r="I15" s="16">
        <f>SUM(I10:I14)</f>
        <v>14309</v>
      </c>
      <c r="J15" s="16">
        <f>SUM(J10:J14)</f>
        <v>3588</v>
      </c>
      <c r="K15" s="21">
        <f t="shared" si="0"/>
        <v>20.048052746270326</v>
      </c>
    </row>
    <row r="16" spans="1:11" ht="12" customHeight="1" x14ac:dyDescent="0.2">
      <c r="A16" s="9"/>
      <c r="B16" s="16"/>
      <c r="C16" s="16"/>
      <c r="D16" s="16"/>
      <c r="E16" s="16"/>
      <c r="F16" s="16"/>
      <c r="G16" s="16"/>
      <c r="H16" s="17"/>
      <c r="I16" s="16"/>
      <c r="J16" s="16"/>
      <c r="K16" s="21"/>
    </row>
    <row r="17" spans="1:11" ht="12" customHeight="1" x14ac:dyDescent="0.2">
      <c r="A17" s="20" t="s">
        <v>18</v>
      </c>
      <c r="B17" s="16">
        <v>31718</v>
      </c>
      <c r="C17" s="16">
        <f t="shared" ref="C17:C34" si="2">SUM(D17:G17)</f>
        <v>6700</v>
      </c>
      <c r="D17" s="16">
        <v>3387</v>
      </c>
      <c r="E17" s="16">
        <v>2387</v>
      </c>
      <c r="F17" s="16">
        <v>712</v>
      </c>
      <c r="G17" s="16">
        <v>214</v>
      </c>
      <c r="H17" s="17">
        <v>1.6759701492537313</v>
      </c>
      <c r="I17" s="16">
        <v>5581</v>
      </c>
      <c r="J17" s="16">
        <v>1119</v>
      </c>
      <c r="K17" s="21">
        <f t="shared" ref="K17:K35" si="3">+J17/C17*100</f>
        <v>16.701492537313435</v>
      </c>
    </row>
    <row r="18" spans="1:11" ht="12" customHeight="1" x14ac:dyDescent="0.2">
      <c r="A18" s="20" t="s">
        <v>19</v>
      </c>
      <c r="B18" s="16">
        <v>3134</v>
      </c>
      <c r="C18" s="16">
        <f t="shared" si="2"/>
        <v>580</v>
      </c>
      <c r="D18" s="16">
        <v>276</v>
      </c>
      <c r="E18" s="16">
        <v>230</v>
      </c>
      <c r="F18" s="16">
        <v>60</v>
      </c>
      <c r="G18" s="16">
        <v>14</v>
      </c>
      <c r="H18" s="17">
        <v>1.6862068965517241</v>
      </c>
      <c r="I18" s="16">
        <v>490</v>
      </c>
      <c r="J18" s="16">
        <v>90</v>
      </c>
      <c r="K18" s="21">
        <f t="shared" si="3"/>
        <v>15.517241379310345</v>
      </c>
    </row>
    <row r="19" spans="1:11" ht="12" customHeight="1" x14ac:dyDescent="0.2">
      <c r="A19" s="20" t="s">
        <v>20</v>
      </c>
      <c r="B19" s="16">
        <v>6814</v>
      </c>
      <c r="C19" s="16">
        <f t="shared" si="2"/>
        <v>1274</v>
      </c>
      <c r="D19" s="16">
        <v>658</v>
      </c>
      <c r="E19" s="16">
        <v>454</v>
      </c>
      <c r="F19" s="16">
        <v>125</v>
      </c>
      <c r="G19" s="16">
        <v>37</v>
      </c>
      <c r="H19" s="17">
        <v>1.6499215070643642</v>
      </c>
      <c r="I19" s="16">
        <v>1069</v>
      </c>
      <c r="J19" s="16">
        <v>205</v>
      </c>
      <c r="K19" s="21">
        <f t="shared" si="3"/>
        <v>16.091051805337521</v>
      </c>
    </row>
    <row r="20" spans="1:11" ht="12" customHeight="1" x14ac:dyDescent="0.2">
      <c r="A20" s="20" t="s">
        <v>21</v>
      </c>
      <c r="B20" s="16">
        <v>8786</v>
      </c>
      <c r="C20" s="16">
        <f t="shared" si="2"/>
        <v>1474</v>
      </c>
      <c r="D20" s="16">
        <v>730</v>
      </c>
      <c r="E20" s="16">
        <v>572</v>
      </c>
      <c r="F20" s="16">
        <v>132</v>
      </c>
      <c r="G20" s="16">
        <v>40</v>
      </c>
      <c r="H20" s="17">
        <v>1.6594301221166894</v>
      </c>
      <c r="I20" s="16">
        <v>1249</v>
      </c>
      <c r="J20" s="16">
        <v>225</v>
      </c>
      <c r="K20" s="21">
        <f t="shared" si="3"/>
        <v>15.264586160108548</v>
      </c>
    </row>
    <row r="21" spans="1:11" ht="12" customHeight="1" x14ac:dyDescent="0.2">
      <c r="A21" s="20" t="s">
        <v>22</v>
      </c>
      <c r="B21" s="16">
        <v>14675</v>
      </c>
      <c r="C21" s="16">
        <f t="shared" si="2"/>
        <v>2700</v>
      </c>
      <c r="D21" s="16">
        <v>1439</v>
      </c>
      <c r="E21" s="16">
        <v>918</v>
      </c>
      <c r="F21" s="16">
        <v>250</v>
      </c>
      <c r="G21" s="16">
        <v>93</v>
      </c>
      <c r="H21" s="17">
        <v>1.6392592592592592</v>
      </c>
      <c r="I21" s="16">
        <v>2293</v>
      </c>
      <c r="J21" s="16">
        <v>407</v>
      </c>
      <c r="K21" s="21">
        <f t="shared" si="3"/>
        <v>15.074074074074073</v>
      </c>
    </row>
    <row r="22" spans="1:11" ht="12" customHeight="1" x14ac:dyDescent="0.2">
      <c r="A22" s="20" t="s">
        <v>23</v>
      </c>
      <c r="B22" s="16">
        <v>4606</v>
      </c>
      <c r="C22" s="16">
        <f t="shared" si="2"/>
        <v>1008</v>
      </c>
      <c r="D22" s="16">
        <v>511</v>
      </c>
      <c r="E22" s="16">
        <v>367</v>
      </c>
      <c r="F22" s="16">
        <v>103</v>
      </c>
      <c r="G22" s="16">
        <v>27</v>
      </c>
      <c r="H22" s="17">
        <v>1.6527777777777777</v>
      </c>
      <c r="I22" s="16">
        <v>858</v>
      </c>
      <c r="J22" s="16">
        <v>150</v>
      </c>
      <c r="K22" s="21">
        <f t="shared" si="3"/>
        <v>14.880952380952381</v>
      </c>
    </row>
    <row r="23" spans="1:11" ht="12" customHeight="1" x14ac:dyDescent="0.2">
      <c r="A23" s="20" t="s">
        <v>24</v>
      </c>
      <c r="B23" s="16">
        <v>14831</v>
      </c>
      <c r="C23" s="16">
        <f t="shared" si="2"/>
        <v>2713</v>
      </c>
      <c r="D23" s="16">
        <v>1385</v>
      </c>
      <c r="E23" s="16">
        <v>1002</v>
      </c>
      <c r="F23" s="16">
        <v>252</v>
      </c>
      <c r="G23" s="16">
        <v>74</v>
      </c>
      <c r="H23" s="17">
        <v>1.6468853667526724</v>
      </c>
      <c r="I23" s="16">
        <v>2289</v>
      </c>
      <c r="J23" s="16">
        <v>424</v>
      </c>
      <c r="K23" s="21">
        <f t="shared" si="3"/>
        <v>15.628455584224108</v>
      </c>
    </row>
    <row r="24" spans="1:11" ht="12" customHeight="1" x14ac:dyDescent="0.2">
      <c r="A24" s="20" t="s">
        <v>25</v>
      </c>
      <c r="B24" s="16">
        <v>11769</v>
      </c>
      <c r="C24" s="16">
        <f t="shared" si="2"/>
        <v>2896</v>
      </c>
      <c r="D24" s="16">
        <v>1372</v>
      </c>
      <c r="E24" s="16">
        <v>1124</v>
      </c>
      <c r="F24" s="16">
        <v>309</v>
      </c>
      <c r="G24" s="16">
        <v>91</v>
      </c>
      <c r="H24" s="17">
        <v>1.7054558011049723</v>
      </c>
      <c r="I24" s="16">
        <v>2470</v>
      </c>
      <c r="J24" s="16">
        <v>426</v>
      </c>
      <c r="K24" s="21">
        <f t="shared" si="3"/>
        <v>14.709944751381215</v>
      </c>
    </row>
    <row r="25" spans="1:11" ht="12" customHeight="1" x14ac:dyDescent="0.2">
      <c r="A25" s="20" t="s">
        <v>26</v>
      </c>
      <c r="B25" s="16">
        <v>3338</v>
      </c>
      <c r="C25" s="16">
        <f t="shared" si="2"/>
        <v>652</v>
      </c>
      <c r="D25" s="16">
        <v>362</v>
      </c>
      <c r="E25" s="16">
        <v>237</v>
      </c>
      <c r="F25" s="16">
        <v>40</v>
      </c>
      <c r="G25" s="16">
        <v>13</v>
      </c>
      <c r="H25" s="17">
        <v>1.5552147239263803</v>
      </c>
      <c r="I25" s="16">
        <v>551</v>
      </c>
      <c r="J25" s="16">
        <v>101</v>
      </c>
      <c r="K25" s="21">
        <f t="shared" si="3"/>
        <v>15.490797546012269</v>
      </c>
    </row>
    <row r="26" spans="1:11" ht="12" customHeight="1" x14ac:dyDescent="0.2">
      <c r="A26" s="20" t="s">
        <v>27</v>
      </c>
      <c r="B26" s="16">
        <v>3915</v>
      </c>
      <c r="C26" s="16">
        <f t="shared" si="2"/>
        <v>824</v>
      </c>
      <c r="D26" s="16">
        <v>424</v>
      </c>
      <c r="E26" s="16">
        <v>300</v>
      </c>
      <c r="F26" s="16">
        <v>79</v>
      </c>
      <c r="G26" s="16">
        <v>21</v>
      </c>
      <c r="H26" s="17">
        <v>1.6359223300970873</v>
      </c>
      <c r="I26" s="16">
        <v>700</v>
      </c>
      <c r="J26" s="16">
        <v>124</v>
      </c>
      <c r="K26" s="21">
        <f t="shared" si="3"/>
        <v>15.048543689320388</v>
      </c>
    </row>
    <row r="27" spans="1:11" ht="12" customHeight="1" x14ac:dyDescent="0.2">
      <c r="A27" s="20" t="s">
        <v>28</v>
      </c>
      <c r="B27" s="16">
        <v>6051</v>
      </c>
      <c r="C27" s="16">
        <f t="shared" si="2"/>
        <v>1025</v>
      </c>
      <c r="D27" s="16">
        <v>510</v>
      </c>
      <c r="E27" s="16">
        <v>396</v>
      </c>
      <c r="F27" s="16">
        <v>96</v>
      </c>
      <c r="G27" s="16">
        <v>23</v>
      </c>
      <c r="H27" s="17">
        <v>1.6439024390243901</v>
      </c>
      <c r="I27" s="16">
        <v>873</v>
      </c>
      <c r="J27" s="16">
        <v>152</v>
      </c>
      <c r="K27" s="21">
        <f t="shared" si="3"/>
        <v>14.829268292682926</v>
      </c>
    </row>
    <row r="28" spans="1:11" ht="12" customHeight="1" x14ac:dyDescent="0.2">
      <c r="A28" s="20" t="s">
        <v>29</v>
      </c>
      <c r="B28" s="16">
        <v>11216</v>
      </c>
      <c r="C28" s="16">
        <f t="shared" si="2"/>
        <v>2307</v>
      </c>
      <c r="D28" s="16">
        <v>1101</v>
      </c>
      <c r="E28" s="16">
        <v>911</v>
      </c>
      <c r="F28" s="16">
        <v>219</v>
      </c>
      <c r="G28" s="16">
        <v>76</v>
      </c>
      <c r="H28" s="17">
        <v>1.692674469007369</v>
      </c>
      <c r="I28" s="16">
        <v>1984</v>
      </c>
      <c r="J28" s="16">
        <v>323</v>
      </c>
      <c r="K28" s="21">
        <f t="shared" si="3"/>
        <v>14.00086692674469</v>
      </c>
    </row>
    <row r="29" spans="1:11" ht="12" customHeight="1" x14ac:dyDescent="0.2">
      <c r="A29" s="20" t="s">
        <v>30</v>
      </c>
      <c r="B29" s="16">
        <v>5216</v>
      </c>
      <c r="C29" s="16">
        <f t="shared" si="2"/>
        <v>1300</v>
      </c>
      <c r="D29" s="16">
        <v>650</v>
      </c>
      <c r="E29" s="16">
        <v>466</v>
      </c>
      <c r="F29" s="16">
        <v>137</v>
      </c>
      <c r="G29" s="16">
        <v>47</v>
      </c>
      <c r="H29" s="17">
        <v>1.6838461538461538</v>
      </c>
      <c r="I29" s="16">
        <v>1153</v>
      </c>
      <c r="J29" s="16">
        <v>147</v>
      </c>
      <c r="K29" s="21">
        <f t="shared" si="3"/>
        <v>11.307692307692307</v>
      </c>
    </row>
    <row r="30" spans="1:11" ht="12" customHeight="1" x14ac:dyDescent="0.2">
      <c r="A30" s="20" t="s">
        <v>31</v>
      </c>
      <c r="B30" s="16">
        <v>7954</v>
      </c>
      <c r="C30" s="16">
        <f t="shared" si="2"/>
        <v>1618</v>
      </c>
      <c r="D30" s="16">
        <v>835</v>
      </c>
      <c r="E30" s="16">
        <v>620</v>
      </c>
      <c r="F30" s="16">
        <v>138</v>
      </c>
      <c r="G30" s="16">
        <v>25</v>
      </c>
      <c r="H30" s="17">
        <v>1.6032138442521631</v>
      </c>
      <c r="I30" s="16">
        <v>1363</v>
      </c>
      <c r="J30" s="16">
        <v>255</v>
      </c>
      <c r="K30" s="21">
        <f t="shared" si="3"/>
        <v>15.760197775030901</v>
      </c>
    </row>
    <row r="31" spans="1:11" ht="12" customHeight="1" x14ac:dyDescent="0.2">
      <c r="A31" s="20" t="s">
        <v>32</v>
      </c>
      <c r="B31" s="16">
        <v>21311</v>
      </c>
      <c r="C31" s="16">
        <f t="shared" si="2"/>
        <v>3781</v>
      </c>
      <c r="D31" s="16">
        <v>1937</v>
      </c>
      <c r="E31" s="16">
        <v>1401</v>
      </c>
      <c r="F31" s="16">
        <v>348</v>
      </c>
      <c r="G31" s="16">
        <v>95</v>
      </c>
      <c r="H31" s="17">
        <v>1.6381909547738693</v>
      </c>
      <c r="I31" s="16">
        <v>3169</v>
      </c>
      <c r="J31" s="16">
        <v>612</v>
      </c>
      <c r="K31" s="21">
        <f t="shared" si="3"/>
        <v>16.186194128537423</v>
      </c>
    </row>
    <row r="32" spans="1:11" ht="12" customHeight="1" x14ac:dyDescent="0.2">
      <c r="A32" s="20" t="s">
        <v>33</v>
      </c>
      <c r="B32" s="16">
        <v>4602</v>
      </c>
      <c r="C32" s="16">
        <f t="shared" si="2"/>
        <v>934</v>
      </c>
      <c r="D32" s="16">
        <v>504</v>
      </c>
      <c r="E32" s="16">
        <v>353</v>
      </c>
      <c r="F32" s="16">
        <v>62</v>
      </c>
      <c r="G32" s="16">
        <v>15</v>
      </c>
      <c r="H32" s="17">
        <v>1.5653104925053534</v>
      </c>
      <c r="I32" s="16">
        <v>762</v>
      </c>
      <c r="J32" s="16">
        <v>172</v>
      </c>
      <c r="K32" s="21">
        <f t="shared" si="3"/>
        <v>18.41541755888651</v>
      </c>
    </row>
    <row r="33" spans="1:11" ht="12" customHeight="1" x14ac:dyDescent="0.2">
      <c r="A33" s="20" t="s">
        <v>34</v>
      </c>
      <c r="B33" s="16">
        <v>13403</v>
      </c>
      <c r="C33" s="16">
        <f t="shared" si="2"/>
        <v>3081</v>
      </c>
      <c r="D33" s="16">
        <v>1463</v>
      </c>
      <c r="E33" s="16">
        <v>1189</v>
      </c>
      <c r="F33" s="16">
        <v>348</v>
      </c>
      <c r="G33" s="16">
        <v>81</v>
      </c>
      <c r="H33" s="17">
        <v>1.6984745212593313</v>
      </c>
      <c r="I33" s="16">
        <v>2626</v>
      </c>
      <c r="J33" s="16">
        <v>455</v>
      </c>
      <c r="K33" s="21">
        <f t="shared" si="3"/>
        <v>14.767932489451477</v>
      </c>
    </row>
    <row r="34" spans="1:11" ht="12" customHeight="1" x14ac:dyDescent="0.2">
      <c r="A34" s="20" t="s">
        <v>35</v>
      </c>
      <c r="B34" s="16">
        <v>17624</v>
      </c>
      <c r="C34" s="16">
        <f t="shared" si="2"/>
        <v>3766</v>
      </c>
      <c r="D34" s="16">
        <v>1985</v>
      </c>
      <c r="E34" s="16">
        <v>1344</v>
      </c>
      <c r="F34" s="16">
        <v>354</v>
      </c>
      <c r="G34" s="16">
        <v>83</v>
      </c>
      <c r="H34" s="17">
        <v>1.6152416356877324</v>
      </c>
      <c r="I34" s="16">
        <v>3148</v>
      </c>
      <c r="J34" s="16">
        <v>618</v>
      </c>
      <c r="K34" s="21">
        <f t="shared" si="3"/>
        <v>16.409984067976634</v>
      </c>
    </row>
    <row r="35" spans="1:11" ht="12" customHeight="1" x14ac:dyDescent="0.2">
      <c r="A35" s="22" t="s">
        <v>36</v>
      </c>
      <c r="B35" s="16">
        <f t="shared" ref="B35:G35" si="4">SUM(B17:B34)</f>
        <v>190963</v>
      </c>
      <c r="C35" s="16">
        <f t="shared" si="4"/>
        <v>38633</v>
      </c>
      <c r="D35" s="16">
        <f t="shared" si="4"/>
        <v>19529</v>
      </c>
      <c r="E35" s="16">
        <f t="shared" si="4"/>
        <v>14271</v>
      </c>
      <c r="F35" s="16">
        <f t="shared" si="4"/>
        <v>3764</v>
      </c>
      <c r="G35" s="16">
        <f t="shared" si="4"/>
        <v>1069</v>
      </c>
      <c r="H35" s="17">
        <v>1.6556053115212384</v>
      </c>
      <c r="I35" s="16">
        <f>SUM(I17:I34)</f>
        <v>32628</v>
      </c>
      <c r="J35" s="16">
        <f>SUM(J17:J34)</f>
        <v>6005</v>
      </c>
      <c r="K35" s="21">
        <f t="shared" si="3"/>
        <v>15.543706157947867</v>
      </c>
    </row>
    <row r="36" spans="1:11" ht="12" customHeight="1" x14ac:dyDescent="0.2">
      <c r="A36" s="9"/>
      <c r="B36" s="16"/>
      <c r="C36" s="16"/>
      <c r="D36" s="16"/>
      <c r="E36" s="16"/>
      <c r="F36" s="16"/>
      <c r="G36" s="16"/>
      <c r="H36" s="17"/>
      <c r="I36" s="16"/>
      <c r="J36" s="16"/>
      <c r="K36" s="21"/>
    </row>
    <row r="37" spans="1:11" ht="12" customHeight="1" x14ac:dyDescent="0.2">
      <c r="A37" s="22" t="s">
        <v>37</v>
      </c>
      <c r="B37" s="16">
        <f>B15+B35</f>
        <v>298570</v>
      </c>
      <c r="C37" s="16">
        <f>SUM(D37:G37)</f>
        <v>56530</v>
      </c>
      <c r="D37" s="16">
        <f>D15+D35</f>
        <v>29470</v>
      </c>
      <c r="E37" s="16">
        <f>E15+E35</f>
        <v>20301</v>
      </c>
      <c r="F37" s="16">
        <f>F15+F35</f>
        <v>5285</v>
      </c>
      <c r="G37" s="16">
        <f>G15+G35</f>
        <v>1474</v>
      </c>
      <c r="H37" s="17">
        <v>1.6324606403679462</v>
      </c>
      <c r="I37" s="16">
        <f>I15+I35</f>
        <v>46937</v>
      </c>
      <c r="J37" s="16">
        <f>J15+J35</f>
        <v>9593</v>
      </c>
      <c r="K37" s="21">
        <f>+J37/C37*100</f>
        <v>16.969750574915974</v>
      </c>
    </row>
    <row r="38" spans="1:11" ht="12" customHeight="1" x14ac:dyDescent="0.2">
      <c r="A38" s="23" t="s">
        <v>38</v>
      </c>
      <c r="B38" s="18"/>
      <c r="C38" s="15"/>
      <c r="D38" s="15"/>
      <c r="E38" s="15"/>
      <c r="F38" s="15"/>
      <c r="G38" s="24"/>
      <c r="H38" s="15"/>
      <c r="I38" s="15"/>
      <c r="J38" s="15"/>
      <c r="K38" s="15"/>
    </row>
    <row r="39" spans="1:11" ht="12" customHeight="1" x14ac:dyDescent="0.2">
      <c r="A39" s="19" t="s">
        <v>55</v>
      </c>
      <c r="B39" s="15"/>
      <c r="C39" s="15"/>
      <c r="D39" s="15"/>
      <c r="E39" s="15"/>
      <c r="F39" s="15"/>
      <c r="G39" s="24"/>
      <c r="H39" s="15"/>
      <c r="I39" s="15"/>
      <c r="J39" s="15"/>
      <c r="K39" s="15"/>
    </row>
    <row r="40" spans="1:11" ht="12" customHeight="1" x14ac:dyDescent="0.2"/>
    <row r="41" spans="1:11" ht="12" customHeight="1" x14ac:dyDescent="0.2"/>
    <row r="42" spans="1:11" ht="12" customHeight="1" x14ac:dyDescent="0.2"/>
    <row r="43" spans="1:11" ht="12" customHeight="1" x14ac:dyDescent="0.2"/>
    <row r="44" spans="1:11" ht="12" customHeight="1" x14ac:dyDescent="0.2"/>
    <row r="45" spans="1:11" ht="12" customHeight="1" x14ac:dyDescent="0.2"/>
    <row r="46" spans="1:11" ht="12" customHeight="1" x14ac:dyDescent="0.2"/>
    <row r="47" spans="1:11" ht="12" customHeight="1" x14ac:dyDescent="0.2"/>
    <row r="48" spans="1:11" ht="12" customHeight="1" x14ac:dyDescent="0.2"/>
    <row r="49" s="2" customFormat="1" ht="11.25" x14ac:dyDescent="0.2"/>
    <row r="50" s="2" customFormat="1" ht="11.25" x14ac:dyDescent="0.2"/>
    <row r="51" ht="11.25" x14ac:dyDescent="0.2"/>
    <row r="52" ht="11.25" x14ac:dyDescent="0.2"/>
    <row r="67" spans="1:1" ht="12.75" customHeight="1" x14ac:dyDescent="0.2">
      <c r="A67" s="2"/>
    </row>
  </sheetData>
  <mergeCells count="4">
    <mergeCell ref="A6:A8"/>
    <mergeCell ref="B6:B8"/>
    <mergeCell ref="C7:C8"/>
    <mergeCell ref="I7:I8"/>
  </mergeCells>
  <phoneticPr fontId="0" type="noConversion"/>
  <pageMargins left="0.59055118110236227" right="0.59055118110236227" top="0.59055118110236227" bottom="0.59055118110236227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6"/>
  <dimension ref="A1:K67"/>
  <sheetViews>
    <sheetView topLeftCell="A5" workbookViewId="0">
      <selection activeCell="L19" sqref="L18:L19"/>
    </sheetView>
  </sheetViews>
  <sheetFormatPr baseColWidth="10" defaultColWidth="9.83203125" defaultRowHeight="12.75" customHeight="1" x14ac:dyDescent="0.2"/>
  <cols>
    <col min="1" max="1" width="20.83203125" customWidth="1"/>
    <col min="2" max="4" width="9.6640625" customWidth="1"/>
    <col min="5" max="9" width="9" customWidth="1"/>
    <col min="10" max="10" width="9.6640625" customWidth="1"/>
    <col min="11" max="11" width="10" customWidth="1"/>
  </cols>
  <sheetData>
    <row r="1" spans="1:11" ht="12.75" customHeight="1" x14ac:dyDescent="0.2">
      <c r="A1" s="3" t="s">
        <v>52</v>
      </c>
      <c r="B1" s="3"/>
      <c r="C1" s="3"/>
      <c r="D1" s="3"/>
      <c r="E1" s="3"/>
      <c r="F1" s="3"/>
      <c r="G1" s="3"/>
      <c r="H1" s="1"/>
      <c r="I1" s="1"/>
      <c r="J1" s="1"/>
      <c r="K1" s="1"/>
    </row>
    <row r="3" spans="1:11" ht="12" customHeight="1" x14ac:dyDescent="0.2">
      <c r="A3" s="25" t="s">
        <v>66</v>
      </c>
      <c r="B3" s="26"/>
      <c r="C3" s="26"/>
      <c r="D3" s="26"/>
      <c r="E3" s="26"/>
      <c r="F3" s="26"/>
      <c r="G3" s="26"/>
      <c r="H3" s="26"/>
      <c r="I3" s="26"/>
      <c r="J3" s="26"/>
      <c r="K3" s="26"/>
    </row>
    <row r="4" spans="1:11" ht="12" customHeight="1" x14ac:dyDescent="0.2">
      <c r="A4" s="25" t="s">
        <v>0</v>
      </c>
      <c r="B4" s="26"/>
      <c r="C4" s="26"/>
      <c r="D4" s="26"/>
      <c r="E4" s="26"/>
      <c r="F4" s="26"/>
      <c r="G4" s="26"/>
      <c r="H4" s="26"/>
      <c r="I4" s="26"/>
      <c r="J4" s="26"/>
      <c r="K4" s="26"/>
    </row>
    <row r="5" spans="1:11" ht="12" customHeight="1" x14ac:dyDescent="0.2">
      <c r="A5" s="4"/>
      <c r="B5" s="5"/>
      <c r="C5" s="5"/>
      <c r="D5" s="5"/>
      <c r="E5" s="5"/>
      <c r="F5" s="5"/>
      <c r="G5" s="5"/>
      <c r="H5" s="5"/>
      <c r="I5" s="5"/>
      <c r="J5" s="5"/>
      <c r="K5" s="5"/>
    </row>
    <row r="6" spans="1:11" ht="12" customHeight="1" x14ac:dyDescent="0.2">
      <c r="A6" s="189" t="s">
        <v>2</v>
      </c>
      <c r="B6" s="190" t="s">
        <v>86</v>
      </c>
      <c r="C6" s="6" t="s">
        <v>1</v>
      </c>
      <c r="D6" s="6"/>
      <c r="E6" s="6"/>
      <c r="F6" s="6"/>
      <c r="G6" s="6"/>
      <c r="H6" s="6"/>
      <c r="I6" s="6"/>
      <c r="J6" s="6"/>
      <c r="K6" s="6"/>
    </row>
    <row r="7" spans="1:11" ht="12" customHeight="1" x14ac:dyDescent="0.2">
      <c r="A7" s="187"/>
      <c r="B7" s="176"/>
      <c r="C7" s="196" t="s">
        <v>3</v>
      </c>
      <c r="D7" s="6" t="s">
        <v>4</v>
      </c>
      <c r="E7" s="6"/>
      <c r="F7" s="6"/>
      <c r="G7" s="6"/>
      <c r="H7" s="7" t="s">
        <v>5</v>
      </c>
      <c r="I7" s="191" t="s">
        <v>6</v>
      </c>
      <c r="J7" s="8" t="s">
        <v>7</v>
      </c>
      <c r="K7" s="6"/>
    </row>
    <row r="8" spans="1:11" ht="12" customHeight="1" x14ac:dyDescent="0.2">
      <c r="A8" s="188"/>
      <c r="B8" s="177"/>
      <c r="C8" s="197"/>
      <c r="D8" s="85">
        <v>1</v>
      </c>
      <c r="E8" s="86">
        <v>2</v>
      </c>
      <c r="F8" s="11">
        <v>3</v>
      </c>
      <c r="G8" s="12" t="s">
        <v>8</v>
      </c>
      <c r="H8" s="13" t="s">
        <v>9</v>
      </c>
      <c r="I8" s="179"/>
      <c r="J8" s="10" t="s">
        <v>10</v>
      </c>
      <c r="K8" s="14" t="s">
        <v>11</v>
      </c>
    </row>
    <row r="9" spans="1:11" ht="12" customHeight="1" x14ac:dyDescent="0.2">
      <c r="A9" s="9"/>
      <c r="B9" s="15"/>
      <c r="C9" s="15"/>
      <c r="D9" s="15"/>
      <c r="E9" s="15"/>
      <c r="F9" s="15"/>
      <c r="G9" s="15"/>
      <c r="H9" s="15"/>
      <c r="I9" s="15"/>
      <c r="J9" s="15"/>
      <c r="K9" s="15"/>
    </row>
    <row r="10" spans="1:11" ht="12" customHeight="1" x14ac:dyDescent="0.2">
      <c r="A10" s="20" t="s">
        <v>12</v>
      </c>
      <c r="B10" s="16">
        <v>14476</v>
      </c>
      <c r="C10" s="16">
        <f>SUM(D10:G10)</f>
        <v>2027</v>
      </c>
      <c r="D10" s="16">
        <v>1132</v>
      </c>
      <c r="E10" s="16">
        <v>660</v>
      </c>
      <c r="F10" s="16">
        <v>170</v>
      </c>
      <c r="G10" s="16">
        <v>65</v>
      </c>
      <c r="H10" s="17">
        <v>1.6033547113961519</v>
      </c>
      <c r="I10" s="16">
        <v>1623</v>
      </c>
      <c r="J10" s="16">
        <v>404</v>
      </c>
      <c r="K10" s="21">
        <f t="shared" ref="K10:K15" si="0">+J10/C10*100</f>
        <v>19.930932412432163</v>
      </c>
    </row>
    <row r="11" spans="1:11" ht="12" customHeight="1" x14ac:dyDescent="0.2">
      <c r="A11" s="20" t="s">
        <v>13</v>
      </c>
      <c r="B11" s="16">
        <v>12982</v>
      </c>
      <c r="C11" s="16">
        <f>SUM(D11:G11)</f>
        <v>2200</v>
      </c>
      <c r="D11" s="16">
        <v>1166</v>
      </c>
      <c r="E11" s="16">
        <v>761</v>
      </c>
      <c r="F11" s="16">
        <v>202</v>
      </c>
      <c r="G11" s="16">
        <v>71</v>
      </c>
      <c r="H11" s="17">
        <v>1.6336363636363636</v>
      </c>
      <c r="I11" s="16">
        <v>1801</v>
      </c>
      <c r="J11" s="16">
        <v>399</v>
      </c>
      <c r="K11" s="21">
        <f t="shared" si="0"/>
        <v>18.136363636363637</v>
      </c>
    </row>
    <row r="12" spans="1:11" ht="12" customHeight="1" x14ac:dyDescent="0.2">
      <c r="A12" s="20" t="s">
        <v>14</v>
      </c>
      <c r="B12" s="16">
        <v>26795</v>
      </c>
      <c r="C12" s="16">
        <f>SUM(D12:G12)</f>
        <v>4998</v>
      </c>
      <c r="D12" s="16">
        <v>2729</v>
      </c>
      <c r="E12" s="16">
        <v>1715</v>
      </c>
      <c r="F12" s="16">
        <v>458</v>
      </c>
      <c r="G12" s="16">
        <v>96</v>
      </c>
      <c r="H12" s="17">
        <v>1.5906362545018007</v>
      </c>
      <c r="I12" s="16">
        <v>3982</v>
      </c>
      <c r="J12" s="16">
        <v>1016</v>
      </c>
      <c r="K12" s="21">
        <f t="shared" si="0"/>
        <v>20.328131252500999</v>
      </c>
    </row>
    <row r="13" spans="1:11" ht="12" customHeight="1" x14ac:dyDescent="0.2">
      <c r="A13" s="20" t="s">
        <v>15</v>
      </c>
      <c r="B13" s="16">
        <v>24828</v>
      </c>
      <c r="C13" s="16">
        <f>SUM(D13:G13)</f>
        <v>4326</v>
      </c>
      <c r="D13" s="16">
        <v>2404</v>
      </c>
      <c r="E13" s="16">
        <v>1426</v>
      </c>
      <c r="F13" s="16">
        <v>393</v>
      </c>
      <c r="G13" s="16">
        <v>103</v>
      </c>
      <c r="H13" s="17">
        <v>1.5915395284327323</v>
      </c>
      <c r="I13" s="16">
        <v>3461</v>
      </c>
      <c r="J13" s="16">
        <v>865</v>
      </c>
      <c r="K13" s="21">
        <f t="shared" si="0"/>
        <v>19.995376791493296</v>
      </c>
    </row>
    <row r="14" spans="1:11" ht="12" customHeight="1" x14ac:dyDescent="0.2">
      <c r="A14" s="20" t="s">
        <v>16</v>
      </c>
      <c r="B14" s="16">
        <v>30465</v>
      </c>
      <c r="C14" s="16">
        <f>SUM(D14:G14)</f>
        <v>4607</v>
      </c>
      <c r="D14" s="16">
        <v>2634</v>
      </c>
      <c r="E14" s="16">
        <v>1489</v>
      </c>
      <c r="F14" s="16">
        <v>400</v>
      </c>
      <c r="G14" s="16">
        <v>84</v>
      </c>
      <c r="H14" s="17">
        <v>1.5565443889733015</v>
      </c>
      <c r="I14" s="16">
        <v>3637</v>
      </c>
      <c r="J14" s="16">
        <v>970</v>
      </c>
      <c r="K14" s="21">
        <f t="shared" si="0"/>
        <v>21.054916431517256</v>
      </c>
    </row>
    <row r="15" spans="1:11" ht="12" customHeight="1" x14ac:dyDescent="0.2">
      <c r="A15" s="22" t="s">
        <v>17</v>
      </c>
      <c r="B15" s="16">
        <f t="shared" ref="B15:G15" si="1">SUM(B10:B14)</f>
        <v>109546</v>
      </c>
      <c r="C15" s="16">
        <f t="shared" si="1"/>
        <v>18158</v>
      </c>
      <c r="D15" s="16">
        <f t="shared" si="1"/>
        <v>10065</v>
      </c>
      <c r="E15" s="16">
        <f t="shared" si="1"/>
        <v>6051</v>
      </c>
      <c r="F15" s="16">
        <f t="shared" si="1"/>
        <v>1623</v>
      </c>
      <c r="G15" s="16">
        <f t="shared" si="1"/>
        <v>419</v>
      </c>
      <c r="H15" s="17">
        <v>1.5888313690935125</v>
      </c>
      <c r="I15" s="16">
        <f>SUM(I10:I14)</f>
        <v>14504</v>
      </c>
      <c r="J15" s="16">
        <f>SUM(J10:J14)</f>
        <v>3654</v>
      </c>
      <c r="K15" s="21">
        <f t="shared" si="0"/>
        <v>20.123361603700847</v>
      </c>
    </row>
    <row r="16" spans="1:11" ht="12" customHeight="1" x14ac:dyDescent="0.2">
      <c r="A16" s="9"/>
      <c r="B16" s="16"/>
      <c r="C16" s="16"/>
      <c r="D16" s="16"/>
      <c r="E16" s="16"/>
      <c r="F16" s="16"/>
      <c r="G16" s="16"/>
      <c r="H16" s="17"/>
      <c r="I16" s="16"/>
      <c r="J16" s="16"/>
      <c r="K16" s="21"/>
    </row>
    <row r="17" spans="1:11" ht="12" customHeight="1" x14ac:dyDescent="0.2">
      <c r="A17" s="20" t="s">
        <v>18</v>
      </c>
      <c r="B17" s="16">
        <v>31932</v>
      </c>
      <c r="C17" s="16">
        <f t="shared" ref="C17:C34" si="2">SUM(D17:G17)</f>
        <v>6713</v>
      </c>
      <c r="D17" s="16">
        <v>3450</v>
      </c>
      <c r="E17" s="16">
        <v>2350</v>
      </c>
      <c r="F17" s="16">
        <v>692</v>
      </c>
      <c r="G17" s="16">
        <v>221</v>
      </c>
      <c r="H17" s="17">
        <v>1.6657232235960078</v>
      </c>
      <c r="I17" s="16">
        <v>5537</v>
      </c>
      <c r="J17" s="16">
        <v>1176</v>
      </c>
      <c r="K17" s="21">
        <f t="shared" ref="K17:K35" si="3">+J17/C17*100</f>
        <v>17.518248175182482</v>
      </c>
    </row>
    <row r="18" spans="1:11" ht="12" customHeight="1" x14ac:dyDescent="0.2">
      <c r="A18" s="20" t="s">
        <v>19</v>
      </c>
      <c r="B18" s="16">
        <v>3202</v>
      </c>
      <c r="C18" s="16">
        <f t="shared" si="2"/>
        <v>581</v>
      </c>
      <c r="D18" s="16">
        <v>274</v>
      </c>
      <c r="E18" s="16">
        <v>231</v>
      </c>
      <c r="F18" s="16">
        <v>62</v>
      </c>
      <c r="G18" s="16">
        <v>14</v>
      </c>
      <c r="H18" s="17">
        <v>1.6919104991394147</v>
      </c>
      <c r="I18" s="16">
        <v>492</v>
      </c>
      <c r="J18" s="16">
        <v>89</v>
      </c>
      <c r="K18" s="21">
        <f t="shared" si="3"/>
        <v>15.3184165232358</v>
      </c>
    </row>
    <row r="19" spans="1:11" ht="12" customHeight="1" x14ac:dyDescent="0.2">
      <c r="A19" s="20" t="s">
        <v>20</v>
      </c>
      <c r="B19" s="16">
        <v>6719</v>
      </c>
      <c r="C19" s="16">
        <f t="shared" si="2"/>
        <v>1205</v>
      </c>
      <c r="D19" s="16">
        <v>626</v>
      </c>
      <c r="E19" s="16">
        <v>440</v>
      </c>
      <c r="F19" s="16">
        <v>105</v>
      </c>
      <c r="G19" s="16">
        <v>34</v>
      </c>
      <c r="H19" s="17">
        <v>1.6331950207468879</v>
      </c>
      <c r="I19" s="16">
        <v>1038</v>
      </c>
      <c r="J19" s="16">
        <v>167</v>
      </c>
      <c r="K19" s="21">
        <f t="shared" si="3"/>
        <v>13.858921161825727</v>
      </c>
    </row>
    <row r="20" spans="1:11" ht="12" customHeight="1" x14ac:dyDescent="0.2">
      <c r="A20" s="20" t="s">
        <v>21</v>
      </c>
      <c r="B20" s="16">
        <v>8961</v>
      </c>
      <c r="C20" s="16">
        <f t="shared" si="2"/>
        <v>1488</v>
      </c>
      <c r="D20" s="16">
        <v>763</v>
      </c>
      <c r="E20" s="16">
        <v>561</v>
      </c>
      <c r="F20" s="16">
        <v>120</v>
      </c>
      <c r="G20" s="16">
        <v>44</v>
      </c>
      <c r="H20" s="17">
        <v>1.6364247311827957</v>
      </c>
      <c r="I20" s="16">
        <v>1260</v>
      </c>
      <c r="J20" s="16">
        <v>228</v>
      </c>
      <c r="K20" s="21">
        <f t="shared" si="3"/>
        <v>15.32258064516129</v>
      </c>
    </row>
    <row r="21" spans="1:11" ht="12" customHeight="1" x14ac:dyDescent="0.2">
      <c r="A21" s="20" t="s">
        <v>22</v>
      </c>
      <c r="B21" s="16">
        <v>14771</v>
      </c>
      <c r="C21" s="16">
        <f t="shared" si="2"/>
        <v>2717</v>
      </c>
      <c r="D21" s="16">
        <v>1421</v>
      </c>
      <c r="E21" s="16">
        <v>947</v>
      </c>
      <c r="F21" s="16">
        <v>265</v>
      </c>
      <c r="G21" s="16">
        <v>84</v>
      </c>
      <c r="H21" s="17">
        <v>1.6463010673536989</v>
      </c>
      <c r="I21" s="16">
        <v>2278</v>
      </c>
      <c r="J21" s="16">
        <v>439</v>
      </c>
      <c r="K21" s="21">
        <f t="shared" si="3"/>
        <v>16.157526683842473</v>
      </c>
    </row>
    <row r="22" spans="1:11" ht="12" customHeight="1" x14ac:dyDescent="0.2">
      <c r="A22" s="20" t="s">
        <v>23</v>
      </c>
      <c r="B22" s="16">
        <v>4595</v>
      </c>
      <c r="C22" s="16">
        <f t="shared" si="2"/>
        <v>991</v>
      </c>
      <c r="D22" s="16">
        <v>511</v>
      </c>
      <c r="E22" s="16">
        <v>353</v>
      </c>
      <c r="F22" s="16">
        <v>104</v>
      </c>
      <c r="G22" s="16">
        <v>23</v>
      </c>
      <c r="H22" s="17">
        <v>1.6397578203834511</v>
      </c>
      <c r="I22" s="16">
        <v>848</v>
      </c>
      <c r="J22" s="16">
        <v>143</v>
      </c>
      <c r="K22" s="21">
        <f t="shared" si="3"/>
        <v>14.42986881937437</v>
      </c>
    </row>
    <row r="23" spans="1:11" ht="12" customHeight="1" x14ac:dyDescent="0.2">
      <c r="A23" s="20" t="s">
        <v>24</v>
      </c>
      <c r="B23" s="16">
        <v>14817</v>
      </c>
      <c r="C23" s="16">
        <f t="shared" si="2"/>
        <v>2725</v>
      </c>
      <c r="D23" s="16">
        <v>1389</v>
      </c>
      <c r="E23" s="16">
        <v>999</v>
      </c>
      <c r="F23" s="16">
        <v>267</v>
      </c>
      <c r="G23" s="16">
        <v>70</v>
      </c>
      <c r="H23" s="17">
        <v>1.6491743119266056</v>
      </c>
      <c r="I23" s="16">
        <v>2289</v>
      </c>
      <c r="J23" s="16">
        <v>436</v>
      </c>
      <c r="K23" s="21">
        <f t="shared" si="3"/>
        <v>16</v>
      </c>
    </row>
    <row r="24" spans="1:11" ht="12" customHeight="1" x14ac:dyDescent="0.2">
      <c r="A24" s="20" t="s">
        <v>25</v>
      </c>
      <c r="B24" s="16">
        <v>11925</v>
      </c>
      <c r="C24" s="16">
        <f t="shared" si="2"/>
        <v>2870</v>
      </c>
      <c r="D24" s="16">
        <v>1355</v>
      </c>
      <c r="E24" s="16">
        <v>1138</v>
      </c>
      <c r="F24" s="16">
        <v>298</v>
      </c>
      <c r="G24" s="16">
        <v>79</v>
      </c>
      <c r="H24" s="17">
        <v>1.6951219512195121</v>
      </c>
      <c r="I24" s="16">
        <v>2448</v>
      </c>
      <c r="J24" s="16">
        <v>422</v>
      </c>
      <c r="K24" s="21">
        <f t="shared" si="3"/>
        <v>14.703832752613241</v>
      </c>
    </row>
    <row r="25" spans="1:11" ht="12" customHeight="1" x14ac:dyDescent="0.2">
      <c r="A25" s="20" t="s">
        <v>26</v>
      </c>
      <c r="B25" s="16">
        <v>3362</v>
      </c>
      <c r="C25" s="16">
        <f t="shared" si="2"/>
        <v>629</v>
      </c>
      <c r="D25" s="16">
        <v>351</v>
      </c>
      <c r="E25" s="16">
        <v>232</v>
      </c>
      <c r="F25" s="16">
        <v>32</v>
      </c>
      <c r="G25" s="16">
        <v>14</v>
      </c>
      <c r="H25" s="17">
        <v>1.5437201907790143</v>
      </c>
      <c r="I25" s="16">
        <v>542</v>
      </c>
      <c r="J25" s="16">
        <v>87</v>
      </c>
      <c r="K25" s="21">
        <f t="shared" si="3"/>
        <v>13.831478537360889</v>
      </c>
    </row>
    <row r="26" spans="1:11" ht="12" customHeight="1" x14ac:dyDescent="0.2">
      <c r="A26" s="20" t="s">
        <v>27</v>
      </c>
      <c r="B26" s="16">
        <v>4036</v>
      </c>
      <c r="C26" s="16">
        <f t="shared" si="2"/>
        <v>835</v>
      </c>
      <c r="D26" s="16">
        <v>424</v>
      </c>
      <c r="E26" s="16">
        <v>310</v>
      </c>
      <c r="F26" s="16">
        <v>78</v>
      </c>
      <c r="G26" s="16">
        <v>23</v>
      </c>
      <c r="H26" s="17">
        <v>1.6455089820359281</v>
      </c>
      <c r="I26" s="16">
        <v>716</v>
      </c>
      <c r="J26" s="16">
        <v>119</v>
      </c>
      <c r="K26" s="21">
        <f t="shared" si="3"/>
        <v>14.251497005988023</v>
      </c>
    </row>
    <row r="27" spans="1:11" ht="12" customHeight="1" x14ac:dyDescent="0.2">
      <c r="A27" s="20" t="s">
        <v>28</v>
      </c>
      <c r="B27" s="16">
        <v>6086</v>
      </c>
      <c r="C27" s="16">
        <f t="shared" si="2"/>
        <v>1038</v>
      </c>
      <c r="D27" s="16">
        <v>521</v>
      </c>
      <c r="E27" s="16">
        <v>402</v>
      </c>
      <c r="F27" s="16">
        <v>91</v>
      </c>
      <c r="G27" s="16">
        <v>24</v>
      </c>
      <c r="H27" s="17">
        <v>1.6377649325626205</v>
      </c>
      <c r="I27" s="16">
        <v>906</v>
      </c>
      <c r="J27" s="16">
        <v>132</v>
      </c>
      <c r="K27" s="21">
        <f t="shared" si="3"/>
        <v>12.716763005780345</v>
      </c>
    </row>
    <row r="28" spans="1:11" ht="12" customHeight="1" x14ac:dyDescent="0.2">
      <c r="A28" s="20" t="s">
        <v>29</v>
      </c>
      <c r="B28" s="16">
        <v>10979</v>
      </c>
      <c r="C28" s="16">
        <f t="shared" si="2"/>
        <v>2197</v>
      </c>
      <c r="D28" s="16">
        <v>1064</v>
      </c>
      <c r="E28" s="16">
        <v>872</v>
      </c>
      <c r="F28" s="16">
        <v>194</v>
      </c>
      <c r="G28" s="16">
        <v>67</v>
      </c>
      <c r="H28" s="17">
        <v>1.6736458807464725</v>
      </c>
      <c r="I28" s="16">
        <v>1915</v>
      </c>
      <c r="J28" s="16">
        <v>282</v>
      </c>
      <c r="K28" s="21">
        <f t="shared" si="3"/>
        <v>12.835685025034138</v>
      </c>
    </row>
    <row r="29" spans="1:11" ht="12" customHeight="1" x14ac:dyDescent="0.2">
      <c r="A29" s="20" t="s">
        <v>30</v>
      </c>
      <c r="B29" s="16">
        <v>5227</v>
      </c>
      <c r="C29" s="16">
        <f t="shared" si="2"/>
        <v>1289</v>
      </c>
      <c r="D29" s="16">
        <v>644</v>
      </c>
      <c r="E29" s="16">
        <v>470</v>
      </c>
      <c r="F29" s="16">
        <v>137</v>
      </c>
      <c r="G29" s="16">
        <v>38</v>
      </c>
      <c r="H29" s="17">
        <v>1.6702870442203259</v>
      </c>
      <c r="I29" s="16">
        <v>1163</v>
      </c>
      <c r="J29" s="16">
        <v>126</v>
      </c>
      <c r="K29" s="21">
        <f t="shared" si="3"/>
        <v>9.7750193948797506</v>
      </c>
    </row>
    <row r="30" spans="1:11" ht="12" customHeight="1" x14ac:dyDescent="0.2">
      <c r="A30" s="20" t="s">
        <v>31</v>
      </c>
      <c r="B30" s="16">
        <v>8059</v>
      </c>
      <c r="C30" s="16">
        <f t="shared" si="2"/>
        <v>1613</v>
      </c>
      <c r="D30" s="16">
        <v>843</v>
      </c>
      <c r="E30" s="16">
        <v>599</v>
      </c>
      <c r="F30" s="16">
        <v>144</v>
      </c>
      <c r="G30" s="16">
        <v>27</v>
      </c>
      <c r="H30" s="17">
        <v>1.6032238065716058</v>
      </c>
      <c r="I30" s="16">
        <v>1362</v>
      </c>
      <c r="J30" s="16">
        <v>251</v>
      </c>
      <c r="K30" s="21">
        <f t="shared" si="3"/>
        <v>15.561066336019838</v>
      </c>
    </row>
    <row r="31" spans="1:11" ht="12" customHeight="1" x14ac:dyDescent="0.2">
      <c r="A31" s="20" t="s">
        <v>32</v>
      </c>
      <c r="B31" s="16">
        <v>21101</v>
      </c>
      <c r="C31" s="16">
        <f t="shared" si="2"/>
        <v>3746</v>
      </c>
      <c r="D31" s="16">
        <v>1940</v>
      </c>
      <c r="E31" s="16">
        <v>1364</v>
      </c>
      <c r="F31" s="16">
        <v>341</v>
      </c>
      <c r="G31" s="16">
        <v>101</v>
      </c>
      <c r="H31" s="17">
        <v>1.6350774159103043</v>
      </c>
      <c r="I31" s="16">
        <v>3147</v>
      </c>
      <c r="J31" s="16">
        <v>599</v>
      </c>
      <c r="K31" s="21">
        <f t="shared" si="3"/>
        <v>15.99038974906567</v>
      </c>
    </row>
    <row r="32" spans="1:11" ht="12" customHeight="1" x14ac:dyDescent="0.2">
      <c r="A32" s="20" t="s">
        <v>33</v>
      </c>
      <c r="B32" s="16">
        <v>4761</v>
      </c>
      <c r="C32" s="16">
        <f t="shared" si="2"/>
        <v>965</v>
      </c>
      <c r="D32" s="16">
        <v>523</v>
      </c>
      <c r="E32" s="16">
        <v>353</v>
      </c>
      <c r="F32" s="16">
        <v>73</v>
      </c>
      <c r="G32" s="16">
        <v>16</v>
      </c>
      <c r="H32" s="17">
        <v>1.5730569948186528</v>
      </c>
      <c r="I32" s="16">
        <v>787</v>
      </c>
      <c r="J32" s="16">
        <v>178</v>
      </c>
      <c r="K32" s="21">
        <f t="shared" si="3"/>
        <v>18.445595854922281</v>
      </c>
    </row>
    <row r="33" spans="1:11" ht="12" customHeight="1" x14ac:dyDescent="0.2">
      <c r="A33" s="20" t="s">
        <v>34</v>
      </c>
      <c r="B33" s="16">
        <v>13522</v>
      </c>
      <c r="C33" s="16">
        <f t="shared" si="2"/>
        <v>3117</v>
      </c>
      <c r="D33" s="16">
        <v>1491</v>
      </c>
      <c r="E33" s="16">
        <v>1195</v>
      </c>
      <c r="F33" s="16">
        <v>341</v>
      </c>
      <c r="G33" s="16">
        <v>90</v>
      </c>
      <c r="H33" s="17">
        <v>1.6981071543150466</v>
      </c>
      <c r="I33" s="16">
        <v>2655</v>
      </c>
      <c r="J33" s="16">
        <v>462</v>
      </c>
      <c r="K33" s="21">
        <f t="shared" si="3"/>
        <v>14.821944177093361</v>
      </c>
    </row>
    <row r="34" spans="1:11" ht="12" customHeight="1" x14ac:dyDescent="0.2">
      <c r="A34" s="20" t="s">
        <v>35</v>
      </c>
      <c r="B34" s="16">
        <v>17713</v>
      </c>
      <c r="C34" s="16">
        <f t="shared" si="2"/>
        <v>3698</v>
      </c>
      <c r="D34" s="16">
        <v>1975</v>
      </c>
      <c r="E34" s="16">
        <v>1298</v>
      </c>
      <c r="F34" s="16">
        <v>336</v>
      </c>
      <c r="G34" s="16">
        <v>89</v>
      </c>
      <c r="H34" s="17">
        <v>1.609518658734451</v>
      </c>
      <c r="I34" s="16">
        <v>3093</v>
      </c>
      <c r="J34" s="16">
        <v>605</v>
      </c>
      <c r="K34" s="21">
        <f t="shared" si="3"/>
        <v>16.360194699837749</v>
      </c>
    </row>
    <row r="35" spans="1:11" ht="12" customHeight="1" x14ac:dyDescent="0.2">
      <c r="A35" s="22" t="s">
        <v>36</v>
      </c>
      <c r="B35" s="16">
        <f t="shared" ref="B35:G35" si="4">SUM(B17:B34)</f>
        <v>191768</v>
      </c>
      <c r="C35" s="16">
        <f t="shared" si="4"/>
        <v>38417</v>
      </c>
      <c r="D35" s="16">
        <f t="shared" si="4"/>
        <v>19565</v>
      </c>
      <c r="E35" s="16">
        <f t="shared" si="4"/>
        <v>14114</v>
      </c>
      <c r="F35" s="16">
        <f t="shared" si="4"/>
        <v>3680</v>
      </c>
      <c r="G35" s="16">
        <f t="shared" si="4"/>
        <v>1058</v>
      </c>
      <c r="H35" s="17">
        <v>1.6496342764921779</v>
      </c>
      <c r="I35" s="16">
        <f>SUM(I17:I34)</f>
        <v>32476</v>
      </c>
      <c r="J35" s="16">
        <f>SUM(J17:J34)</f>
        <v>5941</v>
      </c>
      <c r="K35" s="21">
        <f t="shared" si="3"/>
        <v>15.464507900148373</v>
      </c>
    </row>
    <row r="36" spans="1:11" ht="12" customHeight="1" x14ac:dyDescent="0.2">
      <c r="A36" s="9"/>
      <c r="B36" s="16"/>
      <c r="C36" s="16"/>
      <c r="D36" s="16"/>
      <c r="E36" s="16"/>
      <c r="F36" s="16"/>
      <c r="G36" s="16"/>
      <c r="H36" s="17"/>
      <c r="I36" s="16"/>
      <c r="J36" s="16"/>
      <c r="K36" s="21"/>
    </row>
    <row r="37" spans="1:11" ht="12" customHeight="1" x14ac:dyDescent="0.2">
      <c r="A37" s="22" t="s">
        <v>37</v>
      </c>
      <c r="B37" s="16">
        <f>B15+B35</f>
        <v>301314</v>
      </c>
      <c r="C37" s="16">
        <f>SUM(D37:G37)</f>
        <v>56575</v>
      </c>
      <c r="D37" s="16">
        <f>D15+D35</f>
        <v>29630</v>
      </c>
      <c r="E37" s="16">
        <f>E15+E35</f>
        <v>20165</v>
      </c>
      <c r="F37" s="16">
        <f>F15+F35</f>
        <v>5303</v>
      </c>
      <c r="G37" s="16">
        <f>G15+G35</f>
        <v>1477</v>
      </c>
      <c r="H37" s="17">
        <v>1.6301193106495802</v>
      </c>
      <c r="I37" s="16">
        <f>I15+I35</f>
        <v>46980</v>
      </c>
      <c r="J37" s="16">
        <f>J15+J35</f>
        <v>9595</v>
      </c>
      <c r="K37" s="21">
        <f>+J37/C37*100</f>
        <v>16.959787892178525</v>
      </c>
    </row>
    <row r="38" spans="1:11" ht="12" customHeight="1" x14ac:dyDescent="0.2">
      <c r="A38" s="23" t="s">
        <v>38</v>
      </c>
      <c r="B38" s="18"/>
      <c r="C38" s="15"/>
      <c r="D38" s="15"/>
      <c r="E38" s="15"/>
      <c r="F38" s="15"/>
      <c r="G38" s="24"/>
      <c r="H38" s="15"/>
      <c r="I38" s="15"/>
      <c r="J38" s="15"/>
      <c r="K38" s="15"/>
    </row>
    <row r="39" spans="1:11" ht="12" customHeight="1" x14ac:dyDescent="0.2">
      <c r="A39" s="19" t="s">
        <v>55</v>
      </c>
      <c r="B39" s="15"/>
      <c r="C39" s="15"/>
      <c r="D39" s="15"/>
      <c r="E39" s="15"/>
      <c r="F39" s="15"/>
      <c r="G39" s="24"/>
      <c r="H39" s="15"/>
      <c r="I39" s="15"/>
      <c r="J39" s="15"/>
      <c r="K39" s="15"/>
    </row>
    <row r="40" spans="1:11" ht="12" customHeight="1" x14ac:dyDescent="0.2"/>
    <row r="41" spans="1:11" ht="12" customHeight="1" x14ac:dyDescent="0.2"/>
    <row r="42" spans="1:11" ht="12" customHeight="1" x14ac:dyDescent="0.2"/>
    <row r="43" spans="1:11" ht="12" customHeight="1" x14ac:dyDescent="0.2"/>
    <row r="44" spans="1:11" ht="12" customHeight="1" x14ac:dyDescent="0.2"/>
    <row r="45" spans="1:11" ht="12" customHeight="1" x14ac:dyDescent="0.2"/>
    <row r="46" spans="1:11" ht="12" customHeight="1" x14ac:dyDescent="0.2"/>
    <row r="47" spans="1:11" ht="12" customHeight="1" x14ac:dyDescent="0.2"/>
    <row r="48" spans="1:11" ht="12" customHeight="1" x14ac:dyDescent="0.2"/>
    <row r="49" s="2" customFormat="1" ht="11.25" x14ac:dyDescent="0.2"/>
    <row r="50" s="2" customFormat="1" ht="11.25" x14ac:dyDescent="0.2"/>
    <row r="51" ht="11.25" x14ac:dyDescent="0.2"/>
    <row r="52" ht="11.25" x14ac:dyDescent="0.2"/>
    <row r="67" spans="1:1" ht="12.75" customHeight="1" x14ac:dyDescent="0.2">
      <c r="A67" s="2"/>
    </row>
  </sheetData>
  <mergeCells count="4">
    <mergeCell ref="A6:A8"/>
    <mergeCell ref="B6:B8"/>
    <mergeCell ref="C7:C8"/>
    <mergeCell ref="I7:I8"/>
  </mergeCells>
  <phoneticPr fontId="0" type="noConversion"/>
  <pageMargins left="0.59055118110236227" right="0.59055118110236227" top="0.59055118110236227" bottom="0.59055118110236227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workbookViewId="0">
      <selection activeCell="M25" sqref="M25"/>
    </sheetView>
  </sheetViews>
  <sheetFormatPr baseColWidth="10" defaultColWidth="9.83203125" defaultRowHeight="12.75" customHeight="1" x14ac:dyDescent="0.2"/>
  <cols>
    <col min="1" max="1" width="21.1640625" style="117" customWidth="1"/>
    <col min="2" max="2" width="10.5" style="117" customWidth="1"/>
    <col min="3" max="3" width="9.6640625" style="117" customWidth="1"/>
    <col min="4" max="4" width="9.1640625" style="117" customWidth="1"/>
    <col min="5" max="7" width="9" style="117" customWidth="1"/>
    <col min="8" max="8" width="8.83203125" style="117" customWidth="1"/>
    <col min="9" max="10" width="9" style="117" customWidth="1"/>
    <col min="11" max="11" width="11.5" style="117" bestFit="1" customWidth="1"/>
    <col min="12" max="16384" width="9.83203125" style="117"/>
  </cols>
  <sheetData>
    <row r="1" spans="1:11" ht="12.75" customHeight="1" x14ac:dyDescent="0.2">
      <c r="A1" s="49" t="s">
        <v>77</v>
      </c>
      <c r="B1" s="49"/>
      <c r="C1" s="49"/>
      <c r="D1" s="49"/>
      <c r="E1" s="49"/>
      <c r="F1" s="49"/>
      <c r="G1" s="49"/>
      <c r="H1" s="87"/>
      <c r="I1" s="87"/>
      <c r="J1" s="87"/>
      <c r="K1" s="87"/>
    </row>
    <row r="3" spans="1:11" ht="26.25" customHeight="1" x14ac:dyDescent="0.2">
      <c r="A3" s="135" t="s">
        <v>106</v>
      </c>
      <c r="B3" s="119"/>
      <c r="C3" s="119"/>
      <c r="D3" s="119"/>
      <c r="E3" s="119"/>
      <c r="F3" s="119"/>
      <c r="G3" s="119"/>
      <c r="H3" s="119"/>
      <c r="I3" s="119"/>
      <c r="J3" s="119"/>
      <c r="K3" s="119"/>
    </row>
    <row r="4" spans="1:11" ht="12.6" customHeight="1" x14ac:dyDescent="0.2">
      <c r="A4" s="121"/>
      <c r="B4" s="122"/>
      <c r="C4" s="122"/>
      <c r="D4" s="122"/>
      <c r="E4" s="122"/>
      <c r="F4" s="122"/>
      <c r="G4" s="122"/>
      <c r="H4" s="122"/>
      <c r="I4" s="122"/>
      <c r="J4" s="122"/>
      <c r="K4" s="122"/>
    </row>
    <row r="5" spans="1:11" ht="12.6" customHeight="1" thickBot="1" x14ac:dyDescent="0.25">
      <c r="A5" s="154" t="s">
        <v>2</v>
      </c>
      <c r="B5" s="156" t="s">
        <v>86</v>
      </c>
      <c r="C5" s="158" t="s">
        <v>74</v>
      </c>
      <c r="D5" s="158"/>
      <c r="E5" s="158"/>
      <c r="F5" s="158"/>
      <c r="G5" s="158"/>
      <c r="H5" s="158"/>
      <c r="I5" s="158"/>
      <c r="J5" s="158"/>
      <c r="K5" s="159"/>
    </row>
    <row r="6" spans="1:11" ht="12.6" customHeight="1" thickBot="1" x14ac:dyDescent="0.25">
      <c r="A6" s="155"/>
      <c r="B6" s="157"/>
      <c r="C6" s="160" t="s">
        <v>3</v>
      </c>
      <c r="D6" s="160" t="s">
        <v>4</v>
      </c>
      <c r="E6" s="160"/>
      <c r="F6" s="160"/>
      <c r="G6" s="160"/>
      <c r="H6" s="157" t="s">
        <v>75</v>
      </c>
      <c r="I6" s="160" t="s">
        <v>6</v>
      </c>
      <c r="J6" s="161" t="s">
        <v>7</v>
      </c>
      <c r="K6" s="162"/>
    </row>
    <row r="7" spans="1:11" ht="12.6" customHeight="1" thickBot="1" x14ac:dyDescent="0.25">
      <c r="A7" s="155"/>
      <c r="B7" s="157"/>
      <c r="C7" s="160"/>
      <c r="D7" s="144">
        <v>1</v>
      </c>
      <c r="E7" s="144">
        <v>2</v>
      </c>
      <c r="F7" s="144">
        <v>3</v>
      </c>
      <c r="G7" s="144" t="s">
        <v>8</v>
      </c>
      <c r="H7" s="157"/>
      <c r="I7" s="160"/>
      <c r="J7" s="144" t="s">
        <v>10</v>
      </c>
      <c r="K7" s="145" t="s">
        <v>11</v>
      </c>
    </row>
    <row r="8" spans="1:11" ht="12.6" customHeight="1" x14ac:dyDescent="0.2">
      <c r="A8" s="125"/>
      <c r="B8" s="122"/>
      <c r="C8" s="122"/>
      <c r="D8" s="122"/>
      <c r="E8" s="122"/>
      <c r="F8" s="122"/>
      <c r="G8" s="122"/>
      <c r="H8" s="122"/>
      <c r="I8" s="122"/>
      <c r="J8" s="122"/>
      <c r="K8" s="122"/>
    </row>
    <row r="9" spans="1:11" ht="12.6" customHeight="1" x14ac:dyDescent="0.2">
      <c r="A9" s="126" t="s">
        <v>12</v>
      </c>
      <c r="B9" s="99">
        <v>14574</v>
      </c>
      <c r="C9" s="99">
        <v>1525</v>
      </c>
      <c r="D9" s="99">
        <v>886</v>
      </c>
      <c r="E9" s="99">
        <v>495</v>
      </c>
      <c r="F9" s="99">
        <v>110</v>
      </c>
      <c r="G9" s="99">
        <v>34</v>
      </c>
      <c r="H9" s="100">
        <v>1.54</v>
      </c>
      <c r="I9" s="99">
        <v>1171</v>
      </c>
      <c r="J9" s="99">
        <v>354</v>
      </c>
      <c r="K9" s="101">
        <v>23.2</v>
      </c>
    </row>
    <row r="10" spans="1:11" ht="12.6" customHeight="1" x14ac:dyDescent="0.2">
      <c r="A10" s="126" t="s">
        <v>13</v>
      </c>
      <c r="B10" s="99">
        <v>14640</v>
      </c>
      <c r="C10" s="99">
        <v>2524</v>
      </c>
      <c r="D10" s="99">
        <v>1322</v>
      </c>
      <c r="E10" s="99">
        <v>878</v>
      </c>
      <c r="F10" s="99">
        <v>257</v>
      </c>
      <c r="G10" s="99">
        <v>67</v>
      </c>
      <c r="H10" s="100">
        <v>1.64</v>
      </c>
      <c r="I10" s="99">
        <v>1936</v>
      </c>
      <c r="J10" s="99">
        <v>588</v>
      </c>
      <c r="K10" s="101">
        <v>23.3</v>
      </c>
    </row>
    <row r="11" spans="1:11" ht="12.6" customHeight="1" x14ac:dyDescent="0.2">
      <c r="A11" s="126" t="s">
        <v>14</v>
      </c>
      <c r="B11" s="99">
        <v>27126</v>
      </c>
      <c r="C11" s="99">
        <v>4329</v>
      </c>
      <c r="D11" s="99">
        <v>2331</v>
      </c>
      <c r="E11" s="99">
        <v>1540</v>
      </c>
      <c r="F11" s="99">
        <v>366</v>
      </c>
      <c r="G11" s="99">
        <v>92</v>
      </c>
      <c r="H11" s="100">
        <v>1.59</v>
      </c>
      <c r="I11" s="99">
        <v>3293</v>
      </c>
      <c r="J11" s="99">
        <v>1036</v>
      </c>
      <c r="K11" s="101">
        <v>23.9</v>
      </c>
    </row>
    <row r="12" spans="1:11" ht="12.6" customHeight="1" x14ac:dyDescent="0.2">
      <c r="A12" s="126" t="s">
        <v>15</v>
      </c>
      <c r="B12" s="99">
        <v>25369</v>
      </c>
      <c r="C12" s="99">
        <v>3793</v>
      </c>
      <c r="D12" s="99">
        <v>1989</v>
      </c>
      <c r="E12" s="99">
        <v>1451</v>
      </c>
      <c r="F12" s="99">
        <v>302</v>
      </c>
      <c r="G12" s="99">
        <v>51</v>
      </c>
      <c r="H12" s="100">
        <v>1.58</v>
      </c>
      <c r="I12" s="99">
        <v>3021</v>
      </c>
      <c r="J12" s="99">
        <v>772</v>
      </c>
      <c r="K12" s="101">
        <v>20.399999999999999</v>
      </c>
    </row>
    <row r="13" spans="1:11" ht="12.6" customHeight="1" x14ac:dyDescent="0.2">
      <c r="A13" s="126" t="s">
        <v>16</v>
      </c>
      <c r="B13" s="99">
        <v>30460</v>
      </c>
      <c r="C13" s="99">
        <v>4354</v>
      </c>
      <c r="D13" s="99">
        <v>2316</v>
      </c>
      <c r="E13" s="99">
        <v>1646</v>
      </c>
      <c r="F13" s="99">
        <v>327</v>
      </c>
      <c r="G13" s="99">
        <v>65</v>
      </c>
      <c r="H13" s="100">
        <v>1.58</v>
      </c>
      <c r="I13" s="99">
        <v>3488</v>
      </c>
      <c r="J13" s="99">
        <v>866</v>
      </c>
      <c r="K13" s="101">
        <v>19.899999999999999</v>
      </c>
    </row>
    <row r="14" spans="1:11" ht="17.100000000000001" customHeight="1" x14ac:dyDescent="0.2">
      <c r="A14" s="128" t="s">
        <v>17</v>
      </c>
      <c r="B14" s="99">
        <v>112169</v>
      </c>
      <c r="C14" s="99">
        <v>16525</v>
      </c>
      <c r="D14" s="99">
        <v>8844</v>
      </c>
      <c r="E14" s="99">
        <v>6010</v>
      </c>
      <c r="F14" s="99">
        <v>1362</v>
      </c>
      <c r="G14" s="99">
        <v>309</v>
      </c>
      <c r="H14" s="100">
        <v>1.59</v>
      </c>
      <c r="I14" s="99">
        <v>12909</v>
      </c>
      <c r="J14" s="99">
        <v>3616</v>
      </c>
      <c r="K14" s="101">
        <v>21.9</v>
      </c>
    </row>
    <row r="15" spans="1:11" ht="12.6" customHeight="1" x14ac:dyDescent="0.2">
      <c r="A15" s="126" t="s">
        <v>18</v>
      </c>
      <c r="B15" s="99">
        <v>36257</v>
      </c>
      <c r="C15" s="99">
        <v>6922</v>
      </c>
      <c r="D15" s="99">
        <v>3431</v>
      </c>
      <c r="E15" s="99">
        <v>2527</v>
      </c>
      <c r="F15" s="99">
        <v>782</v>
      </c>
      <c r="G15" s="99">
        <v>182</v>
      </c>
      <c r="H15" s="100">
        <v>1.68</v>
      </c>
      <c r="I15" s="99">
        <v>5309</v>
      </c>
      <c r="J15" s="99">
        <v>1613</v>
      </c>
      <c r="K15" s="101">
        <v>23.3</v>
      </c>
    </row>
    <row r="16" spans="1:11" ht="12.6" customHeight="1" x14ac:dyDescent="0.2">
      <c r="A16" s="126" t="s">
        <v>19</v>
      </c>
      <c r="B16" s="99">
        <v>3480</v>
      </c>
      <c r="C16" s="99">
        <v>650</v>
      </c>
      <c r="D16" s="99">
        <v>290</v>
      </c>
      <c r="E16" s="99">
        <v>261</v>
      </c>
      <c r="F16" s="99">
        <v>79</v>
      </c>
      <c r="G16" s="99">
        <v>20</v>
      </c>
      <c r="H16" s="100">
        <v>1.74</v>
      </c>
      <c r="I16" s="99">
        <v>516</v>
      </c>
      <c r="J16" s="99">
        <v>134</v>
      </c>
      <c r="K16" s="101">
        <v>20.6</v>
      </c>
    </row>
    <row r="17" spans="1:11" ht="12.6" customHeight="1" x14ac:dyDescent="0.2">
      <c r="A17" s="126" t="s">
        <v>20</v>
      </c>
      <c r="B17" s="99">
        <v>6646</v>
      </c>
      <c r="C17" s="99">
        <v>1200</v>
      </c>
      <c r="D17" s="99">
        <v>579</v>
      </c>
      <c r="E17" s="99">
        <v>467</v>
      </c>
      <c r="F17" s="99">
        <v>126</v>
      </c>
      <c r="G17" s="99">
        <v>28</v>
      </c>
      <c r="H17" s="100">
        <v>1.67</v>
      </c>
      <c r="I17" s="99">
        <v>975</v>
      </c>
      <c r="J17" s="99">
        <v>225</v>
      </c>
      <c r="K17" s="101">
        <v>18.8</v>
      </c>
    </row>
    <row r="18" spans="1:11" ht="12.6" customHeight="1" x14ac:dyDescent="0.2">
      <c r="A18" s="126" t="s">
        <v>21</v>
      </c>
      <c r="B18" s="99">
        <v>8508</v>
      </c>
      <c r="C18" s="99">
        <v>1563</v>
      </c>
      <c r="D18" s="99">
        <v>754</v>
      </c>
      <c r="E18" s="99">
        <v>630</v>
      </c>
      <c r="F18" s="99">
        <v>142</v>
      </c>
      <c r="G18" s="99">
        <v>37</v>
      </c>
      <c r="H18" s="100">
        <v>1.67</v>
      </c>
      <c r="I18" s="99">
        <v>1282</v>
      </c>
      <c r="J18" s="99">
        <v>281</v>
      </c>
      <c r="K18" s="101">
        <v>18</v>
      </c>
    </row>
    <row r="19" spans="1:11" ht="12.6" customHeight="1" x14ac:dyDescent="0.2">
      <c r="A19" s="126" t="s">
        <v>22</v>
      </c>
      <c r="B19" s="99">
        <v>15404</v>
      </c>
      <c r="C19" s="99">
        <v>2928</v>
      </c>
      <c r="D19" s="99">
        <v>1419</v>
      </c>
      <c r="E19" s="99">
        <v>1143</v>
      </c>
      <c r="F19" s="99">
        <v>284</v>
      </c>
      <c r="G19" s="99">
        <v>82</v>
      </c>
      <c r="H19" s="100">
        <v>1.68</v>
      </c>
      <c r="I19" s="99">
        <v>2378</v>
      </c>
      <c r="J19" s="99">
        <v>550</v>
      </c>
      <c r="K19" s="101">
        <v>18.8</v>
      </c>
    </row>
    <row r="20" spans="1:11" ht="12.6" customHeight="1" x14ac:dyDescent="0.2">
      <c r="A20" s="126" t="s">
        <v>23</v>
      </c>
      <c r="B20" s="99">
        <v>4855</v>
      </c>
      <c r="C20" s="99">
        <v>961</v>
      </c>
      <c r="D20" s="99">
        <v>434</v>
      </c>
      <c r="E20" s="99">
        <v>399</v>
      </c>
      <c r="F20" s="99">
        <v>102</v>
      </c>
      <c r="G20" s="99">
        <v>26</v>
      </c>
      <c r="H20" s="100">
        <v>1.72</v>
      </c>
      <c r="I20" s="99">
        <v>782</v>
      </c>
      <c r="J20" s="99">
        <v>179</v>
      </c>
      <c r="K20" s="101">
        <v>18.600000000000001</v>
      </c>
    </row>
    <row r="21" spans="1:11" ht="12.6" customHeight="1" x14ac:dyDescent="0.2">
      <c r="A21" s="126" t="s">
        <v>24</v>
      </c>
      <c r="B21" s="99">
        <v>16575</v>
      </c>
      <c r="C21" s="99">
        <v>3208</v>
      </c>
      <c r="D21" s="99">
        <v>1526</v>
      </c>
      <c r="E21" s="99">
        <v>1282</v>
      </c>
      <c r="F21" s="99">
        <v>325</v>
      </c>
      <c r="G21" s="99">
        <v>75</v>
      </c>
      <c r="H21" s="100">
        <v>1.68</v>
      </c>
      <c r="I21" s="99">
        <v>2685</v>
      </c>
      <c r="J21" s="99">
        <v>523</v>
      </c>
      <c r="K21" s="101">
        <v>16.3</v>
      </c>
    </row>
    <row r="22" spans="1:11" ht="12.6" customHeight="1" x14ac:dyDescent="0.2">
      <c r="A22" s="126" t="s">
        <v>25</v>
      </c>
      <c r="B22" s="99">
        <v>12114</v>
      </c>
      <c r="C22" s="99">
        <v>2515</v>
      </c>
      <c r="D22" s="99">
        <v>1177</v>
      </c>
      <c r="E22" s="99">
        <v>955</v>
      </c>
      <c r="F22" s="99">
        <v>306</v>
      </c>
      <c r="G22" s="99">
        <v>77</v>
      </c>
      <c r="H22" s="100">
        <v>1.73</v>
      </c>
      <c r="I22" s="99">
        <v>1936</v>
      </c>
      <c r="J22" s="99">
        <v>579</v>
      </c>
      <c r="K22" s="101">
        <v>23</v>
      </c>
    </row>
    <row r="23" spans="1:11" ht="12.6" customHeight="1" x14ac:dyDescent="0.2">
      <c r="A23" s="126" t="s">
        <v>26</v>
      </c>
      <c r="B23" s="99">
        <v>3507</v>
      </c>
      <c r="C23" s="99">
        <v>604</v>
      </c>
      <c r="D23" s="99">
        <v>323</v>
      </c>
      <c r="E23" s="99">
        <v>215</v>
      </c>
      <c r="F23" s="99">
        <v>48</v>
      </c>
      <c r="G23" s="99">
        <v>18</v>
      </c>
      <c r="H23" s="100">
        <v>1.62</v>
      </c>
      <c r="I23" s="99">
        <v>475</v>
      </c>
      <c r="J23" s="99">
        <v>129</v>
      </c>
      <c r="K23" s="101">
        <v>21.4</v>
      </c>
    </row>
    <row r="24" spans="1:11" ht="12.6" customHeight="1" x14ac:dyDescent="0.2">
      <c r="A24" s="126" t="s">
        <v>27</v>
      </c>
      <c r="B24" s="99">
        <v>4291</v>
      </c>
      <c r="C24" s="99">
        <v>848</v>
      </c>
      <c r="D24" s="99">
        <v>402</v>
      </c>
      <c r="E24" s="99">
        <v>326</v>
      </c>
      <c r="F24" s="99">
        <v>86</v>
      </c>
      <c r="G24" s="99">
        <v>34</v>
      </c>
      <c r="H24" s="100">
        <v>1.71</v>
      </c>
      <c r="I24" s="99">
        <v>659</v>
      </c>
      <c r="J24" s="99">
        <v>189</v>
      </c>
      <c r="K24" s="101">
        <v>22.3</v>
      </c>
    </row>
    <row r="25" spans="1:11" ht="12.6" customHeight="1" x14ac:dyDescent="0.2">
      <c r="A25" s="126" t="s">
        <v>28</v>
      </c>
      <c r="B25" s="99">
        <v>7257</v>
      </c>
      <c r="C25" s="99">
        <v>1190</v>
      </c>
      <c r="D25" s="99">
        <v>566</v>
      </c>
      <c r="E25" s="99">
        <v>464</v>
      </c>
      <c r="F25" s="99">
        <v>133</v>
      </c>
      <c r="G25" s="99">
        <v>27</v>
      </c>
      <c r="H25" s="100">
        <v>1.68</v>
      </c>
      <c r="I25" s="99">
        <v>952</v>
      </c>
      <c r="J25" s="99">
        <v>238</v>
      </c>
      <c r="K25" s="101">
        <v>20</v>
      </c>
    </row>
    <row r="26" spans="1:11" ht="12.6" customHeight="1" x14ac:dyDescent="0.2">
      <c r="A26" s="126" t="s">
        <v>29</v>
      </c>
      <c r="B26" s="99">
        <v>12231</v>
      </c>
      <c r="C26" s="99">
        <v>2326</v>
      </c>
      <c r="D26" s="99">
        <v>1042</v>
      </c>
      <c r="E26" s="99">
        <v>971</v>
      </c>
      <c r="F26" s="99">
        <v>269</v>
      </c>
      <c r="G26" s="99">
        <v>44</v>
      </c>
      <c r="H26" s="100">
        <v>1.71</v>
      </c>
      <c r="I26" s="99">
        <v>1873</v>
      </c>
      <c r="J26" s="99">
        <v>453</v>
      </c>
      <c r="K26" s="101">
        <v>19.5</v>
      </c>
    </row>
    <row r="27" spans="1:11" ht="12.6" customHeight="1" x14ac:dyDescent="0.2">
      <c r="A27" s="126" t="s">
        <v>30</v>
      </c>
      <c r="B27" s="99">
        <v>6336</v>
      </c>
      <c r="C27" s="99">
        <v>1225</v>
      </c>
      <c r="D27" s="99">
        <v>596</v>
      </c>
      <c r="E27" s="99">
        <v>487</v>
      </c>
      <c r="F27" s="99">
        <v>122</v>
      </c>
      <c r="G27" s="99">
        <v>20</v>
      </c>
      <c r="H27" s="100">
        <v>1.65</v>
      </c>
      <c r="I27" s="99">
        <v>964</v>
      </c>
      <c r="J27" s="99">
        <v>261</v>
      </c>
      <c r="K27" s="101">
        <v>21.3</v>
      </c>
    </row>
    <row r="28" spans="1:11" ht="12.6" customHeight="1" x14ac:dyDescent="0.2">
      <c r="A28" s="126" t="s">
        <v>31</v>
      </c>
      <c r="B28" s="99">
        <v>8561</v>
      </c>
      <c r="C28" s="99">
        <v>1548</v>
      </c>
      <c r="D28" s="99">
        <v>738</v>
      </c>
      <c r="E28" s="99">
        <v>603</v>
      </c>
      <c r="F28" s="99">
        <v>164</v>
      </c>
      <c r="G28" s="99">
        <v>43</v>
      </c>
      <c r="H28" s="100">
        <v>1.69</v>
      </c>
      <c r="I28" s="99">
        <v>1235</v>
      </c>
      <c r="J28" s="99">
        <v>313</v>
      </c>
      <c r="K28" s="101">
        <v>20.2</v>
      </c>
    </row>
    <row r="29" spans="1:11" ht="12.6" customHeight="1" x14ac:dyDescent="0.2">
      <c r="A29" s="126" t="s">
        <v>32</v>
      </c>
      <c r="B29" s="99">
        <v>24548</v>
      </c>
      <c r="C29" s="99">
        <v>4189</v>
      </c>
      <c r="D29" s="99">
        <v>1987</v>
      </c>
      <c r="E29" s="99">
        <v>1679</v>
      </c>
      <c r="F29" s="99">
        <v>441</v>
      </c>
      <c r="G29" s="99">
        <v>82</v>
      </c>
      <c r="H29" s="100">
        <v>1.67</v>
      </c>
      <c r="I29" s="99">
        <v>3431</v>
      </c>
      <c r="J29" s="99">
        <v>758</v>
      </c>
      <c r="K29" s="101">
        <v>18.100000000000001</v>
      </c>
    </row>
    <row r="30" spans="1:11" ht="12.6" customHeight="1" x14ac:dyDescent="0.2">
      <c r="A30" s="126" t="s">
        <v>33</v>
      </c>
      <c r="B30" s="99">
        <v>4804</v>
      </c>
      <c r="C30" s="99">
        <v>889</v>
      </c>
      <c r="D30" s="99">
        <v>418</v>
      </c>
      <c r="E30" s="99">
        <v>320</v>
      </c>
      <c r="F30" s="99">
        <v>114</v>
      </c>
      <c r="G30" s="99">
        <v>37</v>
      </c>
      <c r="H30" s="100">
        <v>1.75</v>
      </c>
      <c r="I30" s="99">
        <v>688</v>
      </c>
      <c r="J30" s="99">
        <v>201</v>
      </c>
      <c r="K30" s="101">
        <v>22.6</v>
      </c>
    </row>
    <row r="31" spans="1:11" ht="12.6" customHeight="1" x14ac:dyDescent="0.2">
      <c r="A31" s="126" t="s">
        <v>34</v>
      </c>
      <c r="B31" s="99">
        <v>14716</v>
      </c>
      <c r="C31" s="99">
        <v>3358</v>
      </c>
      <c r="D31" s="99">
        <v>1591</v>
      </c>
      <c r="E31" s="99">
        <v>1326</v>
      </c>
      <c r="F31" s="99">
        <v>358</v>
      </c>
      <c r="G31" s="99">
        <v>83</v>
      </c>
      <c r="H31" s="100">
        <v>1.69</v>
      </c>
      <c r="I31" s="99">
        <v>2680</v>
      </c>
      <c r="J31" s="99">
        <v>678</v>
      </c>
      <c r="K31" s="101">
        <v>20.2</v>
      </c>
    </row>
    <row r="32" spans="1:11" ht="12.6" customHeight="1" x14ac:dyDescent="0.2">
      <c r="A32" s="126" t="s">
        <v>35</v>
      </c>
      <c r="B32" s="99">
        <v>18822</v>
      </c>
      <c r="C32" s="99">
        <v>4015</v>
      </c>
      <c r="D32" s="99">
        <v>1881</v>
      </c>
      <c r="E32" s="99">
        <v>1552</v>
      </c>
      <c r="F32" s="99">
        <v>458</v>
      </c>
      <c r="G32" s="99">
        <v>124</v>
      </c>
      <c r="H32" s="100">
        <v>1.71</v>
      </c>
      <c r="I32" s="99">
        <v>3177</v>
      </c>
      <c r="J32" s="99">
        <v>838</v>
      </c>
      <c r="K32" s="101">
        <v>20.9</v>
      </c>
    </row>
    <row r="33" spans="1:11" ht="17.100000000000001" customHeight="1" x14ac:dyDescent="0.2">
      <c r="A33" s="128" t="s">
        <v>36</v>
      </c>
      <c r="B33" s="99">
        <v>208912</v>
      </c>
      <c r="C33" s="99">
        <v>40139</v>
      </c>
      <c r="D33" s="99">
        <v>19154</v>
      </c>
      <c r="E33" s="99">
        <v>15607</v>
      </c>
      <c r="F33" s="99">
        <v>4339</v>
      </c>
      <c r="G33" s="99">
        <v>1039</v>
      </c>
      <c r="H33" s="100">
        <v>1.69</v>
      </c>
      <c r="I33" s="99">
        <v>31997</v>
      </c>
      <c r="J33" s="99">
        <v>8142</v>
      </c>
      <c r="K33" s="101">
        <v>20.3</v>
      </c>
    </row>
    <row r="34" spans="1:11" ht="17.100000000000001" customHeight="1" x14ac:dyDescent="0.2">
      <c r="A34" s="128" t="s">
        <v>37</v>
      </c>
      <c r="B34" s="109">
        <v>321081</v>
      </c>
      <c r="C34" s="139">
        <v>56664</v>
      </c>
      <c r="D34" s="109">
        <v>27998</v>
      </c>
      <c r="E34" s="109">
        <v>21617</v>
      </c>
      <c r="F34" s="109">
        <v>5701</v>
      </c>
      <c r="G34" s="109">
        <v>1348</v>
      </c>
      <c r="H34" s="137">
        <v>1.66</v>
      </c>
      <c r="I34" s="109">
        <v>44906</v>
      </c>
      <c r="J34" s="109">
        <v>11758</v>
      </c>
      <c r="K34" s="138">
        <v>20.8</v>
      </c>
    </row>
  </sheetData>
  <mergeCells count="8">
    <mergeCell ref="A5:A7"/>
    <mergeCell ref="B5:B7"/>
    <mergeCell ref="C5:K5"/>
    <mergeCell ref="C6:C7"/>
    <mergeCell ref="D6:G6"/>
    <mergeCell ref="H6:H7"/>
    <mergeCell ref="I6:I7"/>
    <mergeCell ref="J6:K6"/>
  </mergeCells>
  <pageMargins left="0.7" right="0.7" top="0.78740157499999996" bottom="0.78740157499999996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workbookViewId="0">
      <selection activeCell="O28" sqref="O28"/>
    </sheetView>
  </sheetViews>
  <sheetFormatPr baseColWidth="10" defaultColWidth="9.83203125" defaultRowHeight="12.75" customHeight="1" x14ac:dyDescent="0.2"/>
  <cols>
    <col min="1" max="1" width="21.1640625" style="117" customWidth="1"/>
    <col min="2" max="2" width="10.5" style="117" customWidth="1"/>
    <col min="3" max="3" width="9.6640625" style="117" customWidth="1"/>
    <col min="4" max="4" width="9.1640625" style="117" customWidth="1"/>
    <col min="5" max="7" width="9" style="117" customWidth="1"/>
    <col min="8" max="8" width="8.83203125" style="117" customWidth="1"/>
    <col min="9" max="10" width="9" style="117" customWidth="1"/>
    <col min="11" max="11" width="11.5" style="117" bestFit="1" customWidth="1"/>
    <col min="12" max="16384" width="9.83203125" style="117"/>
  </cols>
  <sheetData>
    <row r="1" spans="1:11" ht="12.75" customHeight="1" x14ac:dyDescent="0.2">
      <c r="A1" s="49" t="s">
        <v>77</v>
      </c>
      <c r="B1" s="49"/>
      <c r="C1" s="49"/>
      <c r="D1" s="49"/>
      <c r="E1" s="49"/>
      <c r="F1" s="49"/>
      <c r="G1" s="49"/>
      <c r="H1" s="87"/>
      <c r="I1" s="87"/>
      <c r="J1" s="87"/>
      <c r="K1" s="87"/>
    </row>
    <row r="3" spans="1:11" ht="26.25" customHeight="1" x14ac:dyDescent="0.2">
      <c r="A3" s="135" t="s">
        <v>105</v>
      </c>
      <c r="B3" s="119"/>
      <c r="C3" s="119"/>
      <c r="D3" s="119"/>
      <c r="E3" s="119"/>
      <c r="F3" s="119"/>
      <c r="G3" s="119"/>
      <c r="H3" s="119"/>
      <c r="I3" s="119"/>
      <c r="J3" s="119"/>
      <c r="K3" s="119"/>
    </row>
    <row r="4" spans="1:11" ht="12.6" customHeight="1" x14ac:dyDescent="0.2">
      <c r="A4" s="121"/>
      <c r="B4" s="122"/>
      <c r="C4" s="122"/>
      <c r="D4" s="122"/>
      <c r="E4" s="122"/>
      <c r="F4" s="122"/>
      <c r="G4" s="122"/>
      <c r="H4" s="122"/>
      <c r="I4" s="122"/>
      <c r="J4" s="122"/>
      <c r="K4" s="122"/>
    </row>
    <row r="5" spans="1:11" ht="12.6" customHeight="1" thickBot="1" x14ac:dyDescent="0.25">
      <c r="A5" s="154" t="s">
        <v>2</v>
      </c>
      <c r="B5" s="156" t="s">
        <v>86</v>
      </c>
      <c r="C5" s="158" t="s">
        <v>74</v>
      </c>
      <c r="D5" s="158"/>
      <c r="E5" s="158"/>
      <c r="F5" s="158"/>
      <c r="G5" s="158"/>
      <c r="H5" s="158"/>
      <c r="I5" s="158"/>
      <c r="J5" s="158"/>
      <c r="K5" s="159"/>
    </row>
    <row r="6" spans="1:11" ht="12.6" customHeight="1" thickBot="1" x14ac:dyDescent="0.25">
      <c r="A6" s="155"/>
      <c r="B6" s="157"/>
      <c r="C6" s="160" t="s">
        <v>3</v>
      </c>
      <c r="D6" s="160" t="s">
        <v>4</v>
      </c>
      <c r="E6" s="160"/>
      <c r="F6" s="160"/>
      <c r="G6" s="160"/>
      <c r="H6" s="157" t="s">
        <v>75</v>
      </c>
      <c r="I6" s="160" t="s">
        <v>6</v>
      </c>
      <c r="J6" s="161" t="s">
        <v>7</v>
      </c>
      <c r="K6" s="162"/>
    </row>
    <row r="7" spans="1:11" ht="12.6" customHeight="1" thickBot="1" x14ac:dyDescent="0.25">
      <c r="A7" s="155"/>
      <c r="B7" s="157"/>
      <c r="C7" s="160"/>
      <c r="D7" s="142">
        <v>1</v>
      </c>
      <c r="E7" s="142">
        <v>2</v>
      </c>
      <c r="F7" s="142">
        <v>3</v>
      </c>
      <c r="G7" s="142" t="s">
        <v>8</v>
      </c>
      <c r="H7" s="157"/>
      <c r="I7" s="160"/>
      <c r="J7" s="142" t="s">
        <v>10</v>
      </c>
      <c r="K7" s="143" t="s">
        <v>11</v>
      </c>
    </row>
    <row r="8" spans="1:11" ht="12.6" customHeight="1" x14ac:dyDescent="0.2">
      <c r="A8" s="125"/>
      <c r="B8" s="122"/>
      <c r="C8" s="122"/>
      <c r="D8" s="122"/>
      <c r="E8" s="122"/>
      <c r="F8" s="122"/>
      <c r="G8" s="122"/>
      <c r="H8" s="122"/>
      <c r="I8" s="122"/>
      <c r="J8" s="122"/>
      <c r="K8" s="122"/>
    </row>
    <row r="9" spans="1:11" ht="12.6" customHeight="1" x14ac:dyDescent="0.2">
      <c r="A9" s="126" t="s">
        <v>12</v>
      </c>
      <c r="B9" s="99">
        <v>14721</v>
      </c>
      <c r="C9" s="99">
        <v>1553</v>
      </c>
      <c r="D9" s="99">
        <v>885</v>
      </c>
      <c r="E9" s="99">
        <v>509</v>
      </c>
      <c r="F9" s="99">
        <v>120</v>
      </c>
      <c r="G9" s="99">
        <v>39</v>
      </c>
      <c r="H9" s="100">
        <v>1.57</v>
      </c>
      <c r="I9" s="99">
        <v>1189</v>
      </c>
      <c r="J9" s="99">
        <v>364</v>
      </c>
      <c r="K9" s="101">
        <v>23.4</v>
      </c>
    </row>
    <row r="10" spans="1:11" ht="12.6" customHeight="1" x14ac:dyDescent="0.2">
      <c r="A10" s="126" t="s">
        <v>13</v>
      </c>
      <c r="B10" s="99">
        <v>14691</v>
      </c>
      <c r="C10" s="99">
        <v>2566</v>
      </c>
      <c r="D10" s="99">
        <v>1364</v>
      </c>
      <c r="E10" s="99">
        <v>877</v>
      </c>
      <c r="F10" s="99">
        <v>253</v>
      </c>
      <c r="G10" s="99">
        <v>72</v>
      </c>
      <c r="H10" s="100">
        <v>1.63</v>
      </c>
      <c r="I10" s="99">
        <v>1974</v>
      </c>
      <c r="J10" s="99">
        <v>592</v>
      </c>
      <c r="K10" s="101">
        <v>23.1</v>
      </c>
    </row>
    <row r="11" spans="1:11" ht="12.6" customHeight="1" x14ac:dyDescent="0.2">
      <c r="A11" s="126" t="s">
        <v>14</v>
      </c>
      <c r="B11" s="99">
        <v>27428</v>
      </c>
      <c r="C11" s="99">
        <v>4312</v>
      </c>
      <c r="D11" s="99">
        <v>2333</v>
      </c>
      <c r="E11" s="99">
        <v>1521</v>
      </c>
      <c r="F11" s="99">
        <v>363</v>
      </c>
      <c r="G11" s="99">
        <v>95</v>
      </c>
      <c r="H11" s="100">
        <v>1.59</v>
      </c>
      <c r="I11" s="99">
        <v>3262</v>
      </c>
      <c r="J11" s="99">
        <v>1050</v>
      </c>
      <c r="K11" s="101">
        <v>24.4</v>
      </c>
    </row>
    <row r="12" spans="1:11" ht="12.6" customHeight="1" x14ac:dyDescent="0.2">
      <c r="A12" s="126" t="s">
        <v>15</v>
      </c>
      <c r="B12" s="99">
        <v>25624</v>
      </c>
      <c r="C12" s="99">
        <v>3798</v>
      </c>
      <c r="D12" s="99">
        <v>2026</v>
      </c>
      <c r="E12" s="99">
        <v>1428</v>
      </c>
      <c r="F12" s="99">
        <v>300</v>
      </c>
      <c r="G12" s="99">
        <v>44</v>
      </c>
      <c r="H12" s="100">
        <v>1.57</v>
      </c>
      <c r="I12" s="99">
        <v>2997</v>
      </c>
      <c r="J12" s="99">
        <v>801</v>
      </c>
      <c r="K12" s="101">
        <v>21.1</v>
      </c>
    </row>
    <row r="13" spans="1:11" ht="12.6" customHeight="1" x14ac:dyDescent="0.2">
      <c r="A13" s="126" t="s">
        <v>16</v>
      </c>
      <c r="B13" s="99">
        <v>30972</v>
      </c>
      <c r="C13" s="99">
        <v>4353</v>
      </c>
      <c r="D13" s="99">
        <v>2327</v>
      </c>
      <c r="E13" s="99">
        <v>1640</v>
      </c>
      <c r="F13" s="99">
        <v>320</v>
      </c>
      <c r="G13" s="99">
        <v>66</v>
      </c>
      <c r="H13" s="100">
        <v>1.57</v>
      </c>
      <c r="I13" s="99">
        <v>3481</v>
      </c>
      <c r="J13" s="99">
        <v>872</v>
      </c>
      <c r="K13" s="101">
        <v>20</v>
      </c>
    </row>
    <row r="14" spans="1:11" ht="17.100000000000001" customHeight="1" x14ac:dyDescent="0.2">
      <c r="A14" s="128" t="s">
        <v>17</v>
      </c>
      <c r="B14" s="99">
        <v>113436</v>
      </c>
      <c r="C14" s="99">
        <v>16582</v>
      </c>
      <c r="D14" s="99">
        <v>8935</v>
      </c>
      <c r="E14" s="99">
        <v>5975</v>
      </c>
      <c r="F14" s="99">
        <v>1356</v>
      </c>
      <c r="G14" s="99">
        <v>316</v>
      </c>
      <c r="H14" s="100">
        <v>1.59</v>
      </c>
      <c r="I14" s="99">
        <v>12903</v>
      </c>
      <c r="J14" s="99">
        <v>3679</v>
      </c>
      <c r="K14" s="101">
        <v>22.2</v>
      </c>
    </row>
    <row r="15" spans="1:11" ht="12.6" customHeight="1" x14ac:dyDescent="0.2">
      <c r="A15" s="126" t="s">
        <v>18</v>
      </c>
      <c r="B15" s="99">
        <v>36689</v>
      </c>
      <c r="C15" s="99">
        <v>7056</v>
      </c>
      <c r="D15" s="99">
        <v>3517</v>
      </c>
      <c r="E15" s="99">
        <v>2535</v>
      </c>
      <c r="F15" s="99">
        <v>810</v>
      </c>
      <c r="G15" s="99">
        <v>194</v>
      </c>
      <c r="H15" s="100">
        <v>1.68</v>
      </c>
      <c r="I15" s="99">
        <v>5437</v>
      </c>
      <c r="J15" s="99">
        <v>1619</v>
      </c>
      <c r="K15" s="101">
        <v>22.9</v>
      </c>
    </row>
    <row r="16" spans="1:11" ht="12.6" customHeight="1" x14ac:dyDescent="0.2">
      <c r="A16" s="126" t="s">
        <v>19</v>
      </c>
      <c r="B16" s="99">
        <v>3595</v>
      </c>
      <c r="C16" s="99">
        <v>625</v>
      </c>
      <c r="D16" s="99">
        <v>278</v>
      </c>
      <c r="E16" s="99">
        <v>256</v>
      </c>
      <c r="F16" s="99">
        <v>76</v>
      </c>
      <c r="G16" s="99">
        <v>15</v>
      </c>
      <c r="H16" s="100">
        <v>1.73</v>
      </c>
      <c r="I16" s="99">
        <v>490</v>
      </c>
      <c r="J16" s="99">
        <v>135</v>
      </c>
      <c r="K16" s="101">
        <v>21.6</v>
      </c>
    </row>
    <row r="17" spans="1:11" ht="12.6" customHeight="1" x14ac:dyDescent="0.2">
      <c r="A17" s="126" t="s">
        <v>20</v>
      </c>
      <c r="B17" s="99">
        <v>6756</v>
      </c>
      <c r="C17" s="99">
        <v>1237</v>
      </c>
      <c r="D17" s="99">
        <v>604</v>
      </c>
      <c r="E17" s="99">
        <v>482</v>
      </c>
      <c r="F17" s="99">
        <v>127</v>
      </c>
      <c r="G17" s="99">
        <v>24</v>
      </c>
      <c r="H17" s="100">
        <v>1.66</v>
      </c>
      <c r="I17" s="99">
        <v>992</v>
      </c>
      <c r="J17" s="99">
        <v>245</v>
      </c>
      <c r="K17" s="101">
        <v>19.8</v>
      </c>
    </row>
    <row r="18" spans="1:11" ht="12.6" customHeight="1" x14ac:dyDescent="0.2">
      <c r="A18" s="126" t="s">
        <v>21</v>
      </c>
      <c r="B18" s="99">
        <v>8627</v>
      </c>
      <c r="C18" s="99">
        <v>1575</v>
      </c>
      <c r="D18" s="99">
        <v>755</v>
      </c>
      <c r="E18" s="99">
        <v>640</v>
      </c>
      <c r="F18" s="99">
        <v>132</v>
      </c>
      <c r="G18" s="99">
        <v>48</v>
      </c>
      <c r="H18" s="100">
        <v>1.68</v>
      </c>
      <c r="I18" s="99">
        <v>1300</v>
      </c>
      <c r="J18" s="99">
        <v>275</v>
      </c>
      <c r="K18" s="101">
        <v>17.5</v>
      </c>
    </row>
    <row r="19" spans="1:11" ht="12.6" customHeight="1" x14ac:dyDescent="0.2">
      <c r="A19" s="126" t="s">
        <v>22</v>
      </c>
      <c r="B19" s="99">
        <v>15362</v>
      </c>
      <c r="C19" s="99">
        <v>2906</v>
      </c>
      <c r="D19" s="99">
        <v>1397</v>
      </c>
      <c r="E19" s="99">
        <v>1144</v>
      </c>
      <c r="F19" s="99">
        <v>282</v>
      </c>
      <c r="G19" s="99">
        <v>83</v>
      </c>
      <c r="H19" s="100">
        <v>1.68</v>
      </c>
      <c r="I19" s="99">
        <v>2374</v>
      </c>
      <c r="J19" s="99">
        <v>532</v>
      </c>
      <c r="K19" s="101">
        <v>18.3</v>
      </c>
    </row>
    <row r="20" spans="1:11" ht="12.6" customHeight="1" x14ac:dyDescent="0.2">
      <c r="A20" s="126" t="s">
        <v>23</v>
      </c>
      <c r="B20" s="99">
        <v>4932</v>
      </c>
      <c r="C20" s="99">
        <v>1002</v>
      </c>
      <c r="D20" s="99">
        <v>458</v>
      </c>
      <c r="E20" s="99">
        <v>404</v>
      </c>
      <c r="F20" s="99">
        <v>109</v>
      </c>
      <c r="G20" s="99">
        <v>31</v>
      </c>
      <c r="H20" s="100">
        <v>1.72</v>
      </c>
      <c r="I20" s="99">
        <v>805</v>
      </c>
      <c r="J20" s="99">
        <v>197</v>
      </c>
      <c r="K20" s="101">
        <v>19.7</v>
      </c>
    </row>
    <row r="21" spans="1:11" ht="12.6" customHeight="1" x14ac:dyDescent="0.2">
      <c r="A21" s="126" t="s">
        <v>24</v>
      </c>
      <c r="B21" s="99">
        <v>16621</v>
      </c>
      <c r="C21" s="99">
        <v>3200</v>
      </c>
      <c r="D21" s="99">
        <v>1556</v>
      </c>
      <c r="E21" s="99">
        <v>1261</v>
      </c>
      <c r="F21" s="99">
        <v>305</v>
      </c>
      <c r="G21" s="99">
        <v>78</v>
      </c>
      <c r="H21" s="100">
        <v>1.67</v>
      </c>
      <c r="I21" s="99">
        <v>2676</v>
      </c>
      <c r="J21" s="99">
        <v>524</v>
      </c>
      <c r="K21" s="101">
        <v>16.399999999999999</v>
      </c>
    </row>
    <row r="22" spans="1:11" ht="12.6" customHeight="1" x14ac:dyDescent="0.2">
      <c r="A22" s="126" t="s">
        <v>25</v>
      </c>
      <c r="B22" s="99">
        <v>12138</v>
      </c>
      <c r="C22" s="99">
        <v>2498</v>
      </c>
      <c r="D22" s="99">
        <v>1185</v>
      </c>
      <c r="E22" s="99">
        <v>960</v>
      </c>
      <c r="F22" s="99">
        <v>282</v>
      </c>
      <c r="G22" s="99">
        <v>71</v>
      </c>
      <c r="H22" s="100">
        <v>1.71</v>
      </c>
      <c r="I22" s="99">
        <v>1912</v>
      </c>
      <c r="J22" s="99">
        <v>586</v>
      </c>
      <c r="K22" s="101">
        <v>23.5</v>
      </c>
    </row>
    <row r="23" spans="1:11" ht="12.6" customHeight="1" x14ac:dyDescent="0.2">
      <c r="A23" s="126" t="s">
        <v>26</v>
      </c>
      <c r="B23" s="99">
        <v>3577</v>
      </c>
      <c r="C23" s="99">
        <v>587</v>
      </c>
      <c r="D23" s="99">
        <v>304</v>
      </c>
      <c r="E23" s="99">
        <v>219</v>
      </c>
      <c r="F23" s="99">
        <v>50</v>
      </c>
      <c r="G23" s="99">
        <v>14</v>
      </c>
      <c r="H23" s="100">
        <v>1.62</v>
      </c>
      <c r="I23" s="99">
        <v>473</v>
      </c>
      <c r="J23" s="99">
        <v>114</v>
      </c>
      <c r="K23" s="101">
        <v>19.399999999999999</v>
      </c>
    </row>
    <row r="24" spans="1:11" ht="12.6" customHeight="1" x14ac:dyDescent="0.2">
      <c r="A24" s="126" t="s">
        <v>27</v>
      </c>
      <c r="B24" s="99">
        <v>4326</v>
      </c>
      <c r="C24" s="99">
        <v>852</v>
      </c>
      <c r="D24" s="99">
        <v>403</v>
      </c>
      <c r="E24" s="99">
        <v>324</v>
      </c>
      <c r="F24" s="99">
        <v>92</v>
      </c>
      <c r="G24" s="99">
        <v>33</v>
      </c>
      <c r="H24" s="100">
        <v>1.72</v>
      </c>
      <c r="I24" s="99">
        <v>663</v>
      </c>
      <c r="J24" s="99">
        <v>189</v>
      </c>
      <c r="K24" s="101">
        <v>22.2</v>
      </c>
    </row>
    <row r="25" spans="1:11" ht="12.6" customHeight="1" x14ac:dyDescent="0.2">
      <c r="A25" s="126" t="s">
        <v>28</v>
      </c>
      <c r="B25" s="99">
        <v>7290</v>
      </c>
      <c r="C25" s="99">
        <v>1171</v>
      </c>
      <c r="D25" s="99">
        <v>548</v>
      </c>
      <c r="E25" s="99">
        <v>463</v>
      </c>
      <c r="F25" s="99">
        <v>133</v>
      </c>
      <c r="G25" s="99">
        <v>27</v>
      </c>
      <c r="H25" s="100">
        <v>1.7</v>
      </c>
      <c r="I25" s="99">
        <v>958</v>
      </c>
      <c r="J25" s="99">
        <v>213</v>
      </c>
      <c r="K25" s="101">
        <v>18.2</v>
      </c>
    </row>
    <row r="26" spans="1:11" ht="12.6" customHeight="1" x14ac:dyDescent="0.2">
      <c r="A26" s="126" t="s">
        <v>29</v>
      </c>
      <c r="B26" s="99">
        <v>12306</v>
      </c>
      <c r="C26" s="99">
        <v>2314</v>
      </c>
      <c r="D26" s="99">
        <v>1049</v>
      </c>
      <c r="E26" s="99">
        <v>952</v>
      </c>
      <c r="F26" s="99">
        <v>266</v>
      </c>
      <c r="G26" s="99">
        <v>47</v>
      </c>
      <c r="H26" s="100">
        <v>1.71</v>
      </c>
      <c r="I26" s="99">
        <v>1883</v>
      </c>
      <c r="J26" s="99">
        <v>431</v>
      </c>
      <c r="K26" s="101">
        <v>18.600000000000001</v>
      </c>
    </row>
    <row r="27" spans="1:11" ht="12.6" customHeight="1" x14ac:dyDescent="0.2">
      <c r="A27" s="126" t="s">
        <v>30</v>
      </c>
      <c r="B27" s="99">
        <v>6313</v>
      </c>
      <c r="C27" s="99">
        <v>1196</v>
      </c>
      <c r="D27" s="99">
        <v>610</v>
      </c>
      <c r="E27" s="99">
        <v>449</v>
      </c>
      <c r="F27" s="99">
        <v>120</v>
      </c>
      <c r="G27" s="99">
        <v>17</v>
      </c>
      <c r="H27" s="100">
        <v>1.62</v>
      </c>
      <c r="I27" s="99">
        <v>942</v>
      </c>
      <c r="J27" s="99">
        <v>254</v>
      </c>
      <c r="K27" s="101">
        <v>21.2</v>
      </c>
    </row>
    <row r="28" spans="1:11" ht="12.6" customHeight="1" x14ac:dyDescent="0.2">
      <c r="A28" s="126" t="s">
        <v>31</v>
      </c>
      <c r="B28" s="99">
        <v>8588</v>
      </c>
      <c r="C28" s="99">
        <v>1552</v>
      </c>
      <c r="D28" s="99">
        <v>760</v>
      </c>
      <c r="E28" s="99">
        <v>598</v>
      </c>
      <c r="F28" s="99">
        <v>153</v>
      </c>
      <c r="G28" s="99">
        <v>41</v>
      </c>
      <c r="H28" s="100">
        <v>1.67</v>
      </c>
      <c r="I28" s="99">
        <v>1255</v>
      </c>
      <c r="J28" s="99">
        <v>297</v>
      </c>
      <c r="K28" s="101">
        <v>19.100000000000001</v>
      </c>
    </row>
    <row r="29" spans="1:11" ht="12.6" customHeight="1" x14ac:dyDescent="0.2">
      <c r="A29" s="126" t="s">
        <v>32</v>
      </c>
      <c r="B29" s="99">
        <v>24666</v>
      </c>
      <c r="C29" s="99">
        <v>4180</v>
      </c>
      <c r="D29" s="99">
        <v>1986</v>
      </c>
      <c r="E29" s="99">
        <v>1666</v>
      </c>
      <c r="F29" s="99">
        <v>446</v>
      </c>
      <c r="G29" s="99">
        <v>82</v>
      </c>
      <c r="H29" s="100">
        <v>1.68</v>
      </c>
      <c r="I29" s="99">
        <v>3429</v>
      </c>
      <c r="J29" s="99">
        <v>751</v>
      </c>
      <c r="K29" s="101">
        <v>18</v>
      </c>
    </row>
    <row r="30" spans="1:11" ht="12.6" customHeight="1" x14ac:dyDescent="0.2">
      <c r="A30" s="126" t="s">
        <v>33</v>
      </c>
      <c r="B30" s="99">
        <v>4809</v>
      </c>
      <c r="C30" s="99">
        <v>899</v>
      </c>
      <c r="D30" s="99">
        <v>435</v>
      </c>
      <c r="E30" s="99">
        <v>314</v>
      </c>
      <c r="F30" s="99">
        <v>115</v>
      </c>
      <c r="G30" s="99">
        <v>35</v>
      </c>
      <c r="H30" s="100">
        <v>1.73</v>
      </c>
      <c r="I30" s="99">
        <v>694</v>
      </c>
      <c r="J30" s="99">
        <v>205</v>
      </c>
      <c r="K30" s="101">
        <v>22.8</v>
      </c>
    </row>
    <row r="31" spans="1:11" ht="12.6" customHeight="1" x14ac:dyDescent="0.2">
      <c r="A31" s="126" t="s">
        <v>34</v>
      </c>
      <c r="B31" s="99">
        <v>14859</v>
      </c>
      <c r="C31" s="99">
        <v>3363</v>
      </c>
      <c r="D31" s="99">
        <v>1607</v>
      </c>
      <c r="E31" s="99">
        <v>1319</v>
      </c>
      <c r="F31" s="99">
        <v>352</v>
      </c>
      <c r="G31" s="99">
        <v>85</v>
      </c>
      <c r="H31" s="100">
        <v>1.69</v>
      </c>
      <c r="I31" s="99">
        <v>2697</v>
      </c>
      <c r="J31" s="99">
        <v>666</v>
      </c>
      <c r="K31" s="101">
        <v>19.8</v>
      </c>
    </row>
    <row r="32" spans="1:11" ht="12.6" customHeight="1" x14ac:dyDescent="0.2">
      <c r="A32" s="126" t="s">
        <v>35</v>
      </c>
      <c r="B32" s="99">
        <v>18970</v>
      </c>
      <c r="C32" s="99">
        <v>3969</v>
      </c>
      <c r="D32" s="99">
        <v>1826</v>
      </c>
      <c r="E32" s="99">
        <v>1571</v>
      </c>
      <c r="F32" s="99">
        <v>442</v>
      </c>
      <c r="G32" s="99">
        <v>130</v>
      </c>
      <c r="H32" s="100">
        <v>1.73</v>
      </c>
      <c r="I32" s="99">
        <v>3148</v>
      </c>
      <c r="J32" s="99">
        <v>821</v>
      </c>
      <c r="K32" s="101">
        <v>20.7</v>
      </c>
    </row>
    <row r="33" spans="1:11" ht="17.100000000000001" customHeight="1" x14ac:dyDescent="0.2">
      <c r="A33" s="128" t="s">
        <v>36</v>
      </c>
      <c r="B33" s="99">
        <v>210424</v>
      </c>
      <c r="C33" s="99">
        <v>40182</v>
      </c>
      <c r="D33" s="99">
        <v>19278</v>
      </c>
      <c r="E33" s="99">
        <v>15557</v>
      </c>
      <c r="F33" s="99">
        <v>4292</v>
      </c>
      <c r="G33" s="99">
        <v>1055</v>
      </c>
      <c r="H33" s="100">
        <v>1.69</v>
      </c>
      <c r="I33" s="99">
        <v>32128</v>
      </c>
      <c r="J33" s="99">
        <v>8054</v>
      </c>
      <c r="K33" s="101">
        <v>20</v>
      </c>
    </row>
    <row r="34" spans="1:11" ht="17.100000000000001" customHeight="1" x14ac:dyDescent="0.2">
      <c r="A34" s="128" t="s">
        <v>37</v>
      </c>
      <c r="B34" s="109">
        <v>323860</v>
      </c>
      <c r="C34" s="139">
        <v>56764</v>
      </c>
      <c r="D34" s="109">
        <v>28213</v>
      </c>
      <c r="E34" s="109">
        <v>21532</v>
      </c>
      <c r="F34" s="109">
        <v>5648</v>
      </c>
      <c r="G34" s="109">
        <v>1371</v>
      </c>
      <c r="H34" s="137">
        <v>1.66</v>
      </c>
      <c r="I34" s="109">
        <v>45031</v>
      </c>
      <c r="J34" s="109">
        <v>11733</v>
      </c>
      <c r="K34" s="138">
        <v>20.7</v>
      </c>
    </row>
  </sheetData>
  <mergeCells count="8">
    <mergeCell ref="A5:A7"/>
    <mergeCell ref="B5:B7"/>
    <mergeCell ref="C5:K5"/>
    <mergeCell ref="C6:C7"/>
    <mergeCell ref="D6:G6"/>
    <mergeCell ref="H6:H7"/>
    <mergeCell ref="I6:I7"/>
    <mergeCell ref="J6:K6"/>
  </mergeCells>
  <pageMargins left="0.7" right="0.7" top="0.78740157499999996" bottom="0.78740157499999996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topLeftCell="A7" workbookViewId="0">
      <selection sqref="A1:XFD1048576"/>
    </sheetView>
  </sheetViews>
  <sheetFormatPr baseColWidth="10" defaultColWidth="9.83203125" defaultRowHeight="12.75" customHeight="1" x14ac:dyDescent="0.2"/>
  <cols>
    <col min="1" max="1" width="21.1640625" style="117" customWidth="1"/>
    <col min="2" max="2" width="10.5" style="117" customWidth="1"/>
    <col min="3" max="3" width="9.6640625" style="117" customWidth="1"/>
    <col min="4" max="4" width="9.1640625" style="117" customWidth="1"/>
    <col min="5" max="7" width="9" style="117" customWidth="1"/>
    <col min="8" max="8" width="8.83203125" style="117" customWidth="1"/>
    <col min="9" max="10" width="9" style="117" customWidth="1"/>
    <col min="11" max="11" width="11.5" style="117" bestFit="1" customWidth="1"/>
    <col min="12" max="16384" width="9.83203125" style="117"/>
  </cols>
  <sheetData>
    <row r="1" spans="1:11" ht="12.75" customHeight="1" x14ac:dyDescent="0.2">
      <c r="A1" s="49" t="s">
        <v>77</v>
      </c>
      <c r="B1" s="49"/>
      <c r="C1" s="49"/>
      <c r="D1" s="49"/>
      <c r="E1" s="49"/>
      <c r="F1" s="49"/>
      <c r="G1" s="49"/>
      <c r="H1" s="87"/>
      <c r="I1" s="87"/>
      <c r="J1" s="87"/>
      <c r="K1" s="87"/>
    </row>
    <row r="3" spans="1:11" ht="26.25" customHeight="1" x14ac:dyDescent="0.2">
      <c r="A3" s="135" t="s">
        <v>104</v>
      </c>
      <c r="B3" s="119"/>
      <c r="C3" s="119"/>
      <c r="D3" s="119"/>
      <c r="E3" s="119"/>
      <c r="F3" s="119"/>
      <c r="G3" s="119"/>
      <c r="H3" s="119"/>
      <c r="I3" s="119"/>
      <c r="J3" s="119"/>
      <c r="K3" s="119"/>
    </row>
    <row r="4" spans="1:11" ht="12.6" customHeight="1" x14ac:dyDescent="0.2">
      <c r="A4" s="121"/>
      <c r="B4" s="122"/>
      <c r="C4" s="122"/>
      <c r="D4" s="122"/>
      <c r="E4" s="122"/>
      <c r="F4" s="122"/>
      <c r="G4" s="122"/>
      <c r="H4" s="122"/>
      <c r="I4" s="122"/>
      <c r="J4" s="122"/>
      <c r="K4" s="122"/>
    </row>
    <row r="5" spans="1:11" ht="12.6" customHeight="1" thickBot="1" x14ac:dyDescent="0.25">
      <c r="A5" s="154" t="s">
        <v>2</v>
      </c>
      <c r="B5" s="156" t="s">
        <v>92</v>
      </c>
      <c r="C5" s="158" t="s">
        <v>74</v>
      </c>
      <c r="D5" s="158"/>
      <c r="E5" s="158"/>
      <c r="F5" s="158"/>
      <c r="G5" s="158"/>
      <c r="H5" s="158"/>
      <c r="I5" s="158"/>
      <c r="J5" s="158"/>
      <c r="K5" s="159"/>
    </row>
    <row r="6" spans="1:11" ht="12.6" customHeight="1" thickBot="1" x14ac:dyDescent="0.25">
      <c r="A6" s="155"/>
      <c r="B6" s="157"/>
      <c r="C6" s="160" t="s">
        <v>3</v>
      </c>
      <c r="D6" s="160" t="s">
        <v>4</v>
      </c>
      <c r="E6" s="160"/>
      <c r="F6" s="160"/>
      <c r="G6" s="160"/>
      <c r="H6" s="157" t="s">
        <v>75</v>
      </c>
      <c r="I6" s="160" t="s">
        <v>6</v>
      </c>
      <c r="J6" s="161" t="s">
        <v>7</v>
      </c>
      <c r="K6" s="162"/>
    </row>
    <row r="7" spans="1:11" ht="12.6" customHeight="1" thickBot="1" x14ac:dyDescent="0.25">
      <c r="A7" s="155"/>
      <c r="B7" s="157"/>
      <c r="C7" s="160"/>
      <c r="D7" s="123">
        <v>1</v>
      </c>
      <c r="E7" s="123">
        <v>2</v>
      </c>
      <c r="F7" s="123">
        <v>3</v>
      </c>
      <c r="G7" s="123" t="s">
        <v>8</v>
      </c>
      <c r="H7" s="157"/>
      <c r="I7" s="160"/>
      <c r="J7" s="123" t="s">
        <v>10</v>
      </c>
      <c r="K7" s="124" t="s">
        <v>11</v>
      </c>
    </row>
    <row r="8" spans="1:11" ht="12.6" customHeight="1" x14ac:dyDescent="0.2">
      <c r="A8" s="125"/>
      <c r="B8" s="122"/>
      <c r="C8" s="122"/>
      <c r="D8" s="122"/>
      <c r="E8" s="122"/>
      <c r="F8" s="122"/>
      <c r="G8" s="122"/>
      <c r="H8" s="122"/>
      <c r="I8" s="122"/>
      <c r="J8" s="122"/>
      <c r="K8" s="122"/>
    </row>
    <row r="9" spans="1:11" ht="12.6" customHeight="1" x14ac:dyDescent="0.2">
      <c r="A9" s="126" t="s">
        <v>12</v>
      </c>
      <c r="B9" s="99">
        <v>15291</v>
      </c>
      <c r="C9" s="99">
        <v>1586</v>
      </c>
      <c r="D9" s="99">
        <v>923</v>
      </c>
      <c r="E9" s="99">
        <v>503</v>
      </c>
      <c r="F9" s="99">
        <v>112</v>
      </c>
      <c r="G9" s="99">
        <v>48</v>
      </c>
      <c r="H9" s="100">
        <v>1.56</v>
      </c>
      <c r="I9" s="99">
        <v>1218</v>
      </c>
      <c r="J9" s="99">
        <v>368</v>
      </c>
      <c r="K9" s="101">
        <v>23.2</v>
      </c>
    </row>
    <row r="10" spans="1:11" ht="12.6" customHeight="1" x14ac:dyDescent="0.2">
      <c r="A10" s="126" t="s">
        <v>13</v>
      </c>
      <c r="B10" s="99">
        <v>14992</v>
      </c>
      <c r="C10" s="99">
        <v>2620</v>
      </c>
      <c r="D10" s="99">
        <v>1417</v>
      </c>
      <c r="E10" s="99">
        <v>879</v>
      </c>
      <c r="F10" s="99">
        <v>247</v>
      </c>
      <c r="G10" s="99">
        <v>77</v>
      </c>
      <c r="H10" s="100">
        <v>1.62</v>
      </c>
      <c r="I10" s="99">
        <v>2009</v>
      </c>
      <c r="J10" s="99">
        <v>611</v>
      </c>
      <c r="K10" s="101">
        <v>23.3</v>
      </c>
    </row>
    <row r="11" spans="1:11" ht="12.6" customHeight="1" x14ac:dyDescent="0.2">
      <c r="A11" s="126" t="s">
        <v>14</v>
      </c>
      <c r="B11" s="99">
        <v>27801</v>
      </c>
      <c r="C11" s="99">
        <v>4312</v>
      </c>
      <c r="D11" s="99">
        <v>2319</v>
      </c>
      <c r="E11" s="99">
        <v>1542</v>
      </c>
      <c r="F11" s="99">
        <v>363</v>
      </c>
      <c r="G11" s="99">
        <v>88</v>
      </c>
      <c r="H11" s="100">
        <v>1.59</v>
      </c>
      <c r="I11" s="99">
        <v>3263</v>
      </c>
      <c r="J11" s="99">
        <v>1049</v>
      </c>
      <c r="K11" s="101">
        <v>24.3</v>
      </c>
    </row>
    <row r="12" spans="1:11" ht="12.6" customHeight="1" x14ac:dyDescent="0.2">
      <c r="A12" s="126" t="s">
        <v>15</v>
      </c>
      <c r="B12" s="99">
        <v>26119</v>
      </c>
      <c r="C12" s="99">
        <v>3823</v>
      </c>
      <c r="D12" s="99">
        <v>2047</v>
      </c>
      <c r="E12" s="99">
        <v>1414</v>
      </c>
      <c r="F12" s="99">
        <v>303</v>
      </c>
      <c r="G12" s="99">
        <v>59</v>
      </c>
      <c r="H12" s="100">
        <v>1.58</v>
      </c>
      <c r="I12" s="99">
        <v>3009</v>
      </c>
      <c r="J12" s="99">
        <v>814</v>
      </c>
      <c r="K12" s="101">
        <v>21.3</v>
      </c>
    </row>
    <row r="13" spans="1:11" ht="12.6" customHeight="1" x14ac:dyDescent="0.2">
      <c r="A13" s="126" t="s">
        <v>16</v>
      </c>
      <c r="B13" s="99">
        <v>31058</v>
      </c>
      <c r="C13" s="99">
        <v>4321</v>
      </c>
      <c r="D13" s="99">
        <v>2319</v>
      </c>
      <c r="E13" s="99">
        <v>1616</v>
      </c>
      <c r="F13" s="99">
        <v>330</v>
      </c>
      <c r="G13" s="99">
        <v>56</v>
      </c>
      <c r="H13" s="100">
        <v>1.57</v>
      </c>
      <c r="I13" s="99">
        <v>3455</v>
      </c>
      <c r="J13" s="99">
        <v>866</v>
      </c>
      <c r="K13" s="101">
        <v>20</v>
      </c>
    </row>
    <row r="14" spans="1:11" ht="17.100000000000001" customHeight="1" x14ac:dyDescent="0.2">
      <c r="A14" s="128" t="s">
        <v>17</v>
      </c>
      <c r="B14" s="99">
        <v>115261</v>
      </c>
      <c r="C14" s="99">
        <v>16662</v>
      </c>
      <c r="D14" s="99">
        <v>9025</v>
      </c>
      <c r="E14" s="99">
        <v>5954</v>
      </c>
      <c r="F14" s="99">
        <v>1355</v>
      </c>
      <c r="G14" s="99">
        <v>328</v>
      </c>
      <c r="H14" s="100">
        <v>1.58</v>
      </c>
      <c r="I14" s="99">
        <v>12954</v>
      </c>
      <c r="J14" s="99">
        <v>3708</v>
      </c>
      <c r="K14" s="101">
        <v>22.3</v>
      </c>
    </row>
    <row r="15" spans="1:11" ht="12.6" customHeight="1" x14ac:dyDescent="0.2">
      <c r="A15" s="126" t="s">
        <v>18</v>
      </c>
      <c r="B15" s="99">
        <v>37198</v>
      </c>
      <c r="C15" s="99">
        <v>7103</v>
      </c>
      <c r="D15" s="99">
        <v>3534</v>
      </c>
      <c r="E15" s="99">
        <v>2548</v>
      </c>
      <c r="F15" s="99">
        <v>818</v>
      </c>
      <c r="G15" s="99">
        <v>203</v>
      </c>
      <c r="H15" s="100">
        <v>1.68</v>
      </c>
      <c r="I15" s="99">
        <v>5468</v>
      </c>
      <c r="J15" s="99">
        <v>1635</v>
      </c>
      <c r="K15" s="101">
        <v>23</v>
      </c>
    </row>
    <row r="16" spans="1:11" ht="12.6" customHeight="1" x14ac:dyDescent="0.2">
      <c r="A16" s="126" t="s">
        <v>19</v>
      </c>
      <c r="B16" s="99">
        <v>3700</v>
      </c>
      <c r="C16" s="99">
        <v>636</v>
      </c>
      <c r="D16" s="99">
        <v>275</v>
      </c>
      <c r="E16" s="99">
        <v>275</v>
      </c>
      <c r="F16" s="99">
        <v>72</v>
      </c>
      <c r="G16" s="99">
        <v>14</v>
      </c>
      <c r="H16" s="100">
        <v>1.73</v>
      </c>
      <c r="I16" s="99">
        <v>498</v>
      </c>
      <c r="J16" s="99">
        <v>138</v>
      </c>
      <c r="K16" s="101">
        <v>21.7</v>
      </c>
    </row>
    <row r="17" spans="1:11" ht="12.6" customHeight="1" x14ac:dyDescent="0.2">
      <c r="A17" s="126" t="s">
        <v>20</v>
      </c>
      <c r="B17" s="99">
        <v>6750</v>
      </c>
      <c r="C17" s="99">
        <v>1240</v>
      </c>
      <c r="D17" s="99">
        <v>602</v>
      </c>
      <c r="E17" s="99">
        <v>476</v>
      </c>
      <c r="F17" s="99">
        <v>137</v>
      </c>
      <c r="G17" s="99">
        <v>25</v>
      </c>
      <c r="H17" s="100">
        <v>1.67</v>
      </c>
      <c r="I17" s="99">
        <v>997</v>
      </c>
      <c r="J17" s="99">
        <v>243</v>
      </c>
      <c r="K17" s="101">
        <v>19.600000000000001</v>
      </c>
    </row>
    <row r="18" spans="1:11" ht="12.6" customHeight="1" x14ac:dyDescent="0.2">
      <c r="A18" s="126" t="s">
        <v>21</v>
      </c>
      <c r="B18" s="99">
        <v>8698</v>
      </c>
      <c r="C18" s="99">
        <v>1598</v>
      </c>
      <c r="D18" s="99">
        <v>748</v>
      </c>
      <c r="E18" s="99">
        <v>666</v>
      </c>
      <c r="F18" s="99">
        <v>133</v>
      </c>
      <c r="G18" s="99">
        <v>51</v>
      </c>
      <c r="H18" s="100">
        <v>1.69</v>
      </c>
      <c r="I18" s="99">
        <v>1311</v>
      </c>
      <c r="J18" s="99">
        <v>287</v>
      </c>
      <c r="K18" s="101">
        <v>18</v>
      </c>
    </row>
    <row r="19" spans="1:11" ht="12.6" customHeight="1" x14ac:dyDescent="0.2">
      <c r="A19" s="126" t="s">
        <v>22</v>
      </c>
      <c r="B19" s="99">
        <v>15736</v>
      </c>
      <c r="C19" s="99">
        <v>2938</v>
      </c>
      <c r="D19" s="99">
        <v>1413</v>
      </c>
      <c r="E19" s="99">
        <v>1147</v>
      </c>
      <c r="F19" s="99">
        <v>293</v>
      </c>
      <c r="G19" s="99">
        <v>85</v>
      </c>
      <c r="H19" s="100">
        <v>1.69</v>
      </c>
      <c r="I19" s="99">
        <v>2386</v>
      </c>
      <c r="J19" s="99">
        <v>552</v>
      </c>
      <c r="K19" s="101">
        <v>18.8</v>
      </c>
    </row>
    <row r="20" spans="1:11" ht="12.6" customHeight="1" x14ac:dyDescent="0.2">
      <c r="A20" s="126" t="s">
        <v>23</v>
      </c>
      <c r="B20" s="99">
        <v>4939</v>
      </c>
      <c r="C20" s="99">
        <v>974</v>
      </c>
      <c r="D20" s="99">
        <v>442</v>
      </c>
      <c r="E20" s="99">
        <v>402</v>
      </c>
      <c r="F20" s="99">
        <v>100</v>
      </c>
      <c r="G20" s="99">
        <v>30</v>
      </c>
      <c r="H20" s="100">
        <v>1.72</v>
      </c>
      <c r="I20" s="99">
        <v>788</v>
      </c>
      <c r="J20" s="99">
        <v>186</v>
      </c>
      <c r="K20" s="101">
        <v>19.100000000000001</v>
      </c>
    </row>
    <row r="21" spans="1:11" ht="12.6" customHeight="1" x14ac:dyDescent="0.2">
      <c r="A21" s="126" t="s">
        <v>24</v>
      </c>
      <c r="B21" s="99">
        <v>16839</v>
      </c>
      <c r="C21" s="99">
        <v>3215</v>
      </c>
      <c r="D21" s="99">
        <v>1580</v>
      </c>
      <c r="E21" s="99">
        <v>1239</v>
      </c>
      <c r="F21" s="99">
        <v>313</v>
      </c>
      <c r="G21" s="99">
        <v>83</v>
      </c>
      <c r="H21" s="100">
        <v>1.66</v>
      </c>
      <c r="I21" s="99">
        <v>2689</v>
      </c>
      <c r="J21" s="99">
        <v>526</v>
      </c>
      <c r="K21" s="101">
        <v>16.399999999999999</v>
      </c>
    </row>
    <row r="22" spans="1:11" ht="12.6" customHeight="1" x14ac:dyDescent="0.2">
      <c r="A22" s="126" t="s">
        <v>25</v>
      </c>
      <c r="B22" s="99">
        <v>12199</v>
      </c>
      <c r="C22" s="99">
        <v>2486</v>
      </c>
      <c r="D22" s="99">
        <v>1187</v>
      </c>
      <c r="E22" s="99">
        <v>950</v>
      </c>
      <c r="F22" s="99">
        <v>285</v>
      </c>
      <c r="G22" s="99">
        <v>64</v>
      </c>
      <c r="H22" s="100">
        <v>1.7</v>
      </c>
      <c r="I22" s="99">
        <v>1908</v>
      </c>
      <c r="J22" s="99">
        <v>578</v>
      </c>
      <c r="K22" s="101">
        <v>23.3</v>
      </c>
    </row>
    <row r="23" spans="1:11" ht="12.6" customHeight="1" x14ac:dyDescent="0.2">
      <c r="A23" s="126" t="s">
        <v>26</v>
      </c>
      <c r="B23" s="99">
        <v>3623</v>
      </c>
      <c r="C23" s="99">
        <v>586</v>
      </c>
      <c r="D23" s="99">
        <v>292</v>
      </c>
      <c r="E23" s="99">
        <v>216</v>
      </c>
      <c r="F23" s="99">
        <v>59</v>
      </c>
      <c r="G23" s="99">
        <v>19</v>
      </c>
      <c r="H23" s="100">
        <v>1.68</v>
      </c>
      <c r="I23" s="99">
        <v>474</v>
      </c>
      <c r="J23" s="99">
        <v>112</v>
      </c>
      <c r="K23" s="101">
        <v>19.100000000000001</v>
      </c>
    </row>
    <row r="24" spans="1:11" ht="12.6" customHeight="1" x14ac:dyDescent="0.2">
      <c r="A24" s="126" t="s">
        <v>27</v>
      </c>
      <c r="B24" s="99">
        <v>4324</v>
      </c>
      <c r="C24" s="99">
        <v>844</v>
      </c>
      <c r="D24" s="99">
        <v>400</v>
      </c>
      <c r="E24" s="99">
        <v>318</v>
      </c>
      <c r="F24" s="99">
        <v>90</v>
      </c>
      <c r="G24" s="99">
        <v>36</v>
      </c>
      <c r="H24" s="100">
        <v>1.73</v>
      </c>
      <c r="I24" s="99">
        <v>659</v>
      </c>
      <c r="J24" s="99">
        <v>185</v>
      </c>
      <c r="K24" s="101">
        <v>21.9</v>
      </c>
    </row>
    <row r="25" spans="1:11" ht="12.6" customHeight="1" x14ac:dyDescent="0.2">
      <c r="A25" s="126" t="s">
        <v>28</v>
      </c>
      <c r="B25" s="99">
        <v>7323</v>
      </c>
      <c r="C25" s="99">
        <v>1176</v>
      </c>
      <c r="D25" s="99">
        <v>553</v>
      </c>
      <c r="E25" s="99">
        <v>469</v>
      </c>
      <c r="F25" s="99">
        <v>128</v>
      </c>
      <c r="G25" s="99">
        <v>26</v>
      </c>
      <c r="H25" s="100">
        <v>1.69</v>
      </c>
      <c r="I25" s="99">
        <v>964</v>
      </c>
      <c r="J25" s="99">
        <v>212</v>
      </c>
      <c r="K25" s="101">
        <v>18</v>
      </c>
    </row>
    <row r="26" spans="1:11" ht="12.6" customHeight="1" x14ac:dyDescent="0.2">
      <c r="A26" s="126" t="s">
        <v>29</v>
      </c>
      <c r="B26" s="99">
        <v>12323</v>
      </c>
      <c r="C26" s="99">
        <v>2354</v>
      </c>
      <c r="D26" s="99">
        <v>1072</v>
      </c>
      <c r="E26" s="99">
        <v>961</v>
      </c>
      <c r="F26" s="99">
        <v>281</v>
      </c>
      <c r="G26" s="99">
        <v>40</v>
      </c>
      <c r="H26" s="100">
        <v>1.7</v>
      </c>
      <c r="I26" s="99">
        <v>1908</v>
      </c>
      <c r="J26" s="99">
        <v>446</v>
      </c>
      <c r="K26" s="101">
        <v>18.899999999999999</v>
      </c>
    </row>
    <row r="27" spans="1:11" ht="12.6" customHeight="1" x14ac:dyDescent="0.2">
      <c r="A27" s="126" t="s">
        <v>30</v>
      </c>
      <c r="B27" s="99">
        <v>6332</v>
      </c>
      <c r="C27" s="99">
        <v>1214</v>
      </c>
      <c r="D27" s="99">
        <v>617</v>
      </c>
      <c r="E27" s="99">
        <v>456</v>
      </c>
      <c r="F27" s="99">
        <v>124</v>
      </c>
      <c r="G27" s="99">
        <v>17</v>
      </c>
      <c r="H27" s="100">
        <v>1.63</v>
      </c>
      <c r="I27" s="99">
        <v>960</v>
      </c>
      <c r="J27" s="99">
        <v>254</v>
      </c>
      <c r="K27" s="101">
        <v>20.9</v>
      </c>
    </row>
    <row r="28" spans="1:11" ht="12.6" customHeight="1" x14ac:dyDescent="0.2">
      <c r="A28" s="126" t="s">
        <v>31</v>
      </c>
      <c r="B28" s="99">
        <v>8639</v>
      </c>
      <c r="C28" s="99">
        <v>1593</v>
      </c>
      <c r="D28" s="99">
        <v>775</v>
      </c>
      <c r="E28" s="99">
        <v>617</v>
      </c>
      <c r="F28" s="99">
        <v>158</v>
      </c>
      <c r="G28" s="99">
        <v>43</v>
      </c>
      <c r="H28" s="100">
        <v>1.67</v>
      </c>
      <c r="I28" s="99">
        <v>1271</v>
      </c>
      <c r="J28" s="99">
        <v>322</v>
      </c>
      <c r="K28" s="101">
        <v>20.2</v>
      </c>
    </row>
    <row r="29" spans="1:11" ht="12.6" customHeight="1" x14ac:dyDescent="0.2">
      <c r="A29" s="126" t="s">
        <v>32</v>
      </c>
      <c r="B29" s="99">
        <v>24558</v>
      </c>
      <c r="C29" s="99">
        <v>4233</v>
      </c>
      <c r="D29" s="99">
        <v>2026</v>
      </c>
      <c r="E29" s="99">
        <v>1675</v>
      </c>
      <c r="F29" s="99">
        <v>449</v>
      </c>
      <c r="G29" s="99">
        <v>83</v>
      </c>
      <c r="H29" s="100">
        <v>1.67</v>
      </c>
      <c r="I29" s="99">
        <v>3503</v>
      </c>
      <c r="J29" s="99">
        <v>730</v>
      </c>
      <c r="K29" s="101">
        <v>17.2</v>
      </c>
    </row>
    <row r="30" spans="1:11" ht="12.6" customHeight="1" x14ac:dyDescent="0.2">
      <c r="A30" s="126" t="s">
        <v>33</v>
      </c>
      <c r="B30" s="99">
        <v>4858</v>
      </c>
      <c r="C30" s="99">
        <v>905</v>
      </c>
      <c r="D30" s="99">
        <v>427</v>
      </c>
      <c r="E30" s="99">
        <v>327</v>
      </c>
      <c r="F30" s="99">
        <v>118</v>
      </c>
      <c r="G30" s="99">
        <v>33</v>
      </c>
      <c r="H30" s="100">
        <v>1.74</v>
      </c>
      <c r="I30" s="99">
        <v>718</v>
      </c>
      <c r="J30" s="99">
        <v>187</v>
      </c>
      <c r="K30" s="101">
        <v>20.7</v>
      </c>
    </row>
    <row r="31" spans="1:11" ht="12.6" customHeight="1" x14ac:dyDescent="0.2">
      <c r="A31" s="126" t="s">
        <v>34</v>
      </c>
      <c r="B31" s="99">
        <v>14925</v>
      </c>
      <c r="C31" s="99">
        <v>3376</v>
      </c>
      <c r="D31" s="99">
        <v>1582</v>
      </c>
      <c r="E31" s="99">
        <v>1361</v>
      </c>
      <c r="F31" s="99">
        <v>348</v>
      </c>
      <c r="G31" s="99">
        <v>85</v>
      </c>
      <c r="H31" s="100">
        <v>1.69</v>
      </c>
      <c r="I31" s="99">
        <v>2721</v>
      </c>
      <c r="J31" s="99">
        <v>655</v>
      </c>
      <c r="K31" s="101">
        <v>19.399999999999999</v>
      </c>
    </row>
    <row r="32" spans="1:11" ht="12.6" customHeight="1" x14ac:dyDescent="0.2">
      <c r="A32" s="126" t="s">
        <v>35</v>
      </c>
      <c r="B32" s="99">
        <v>18983</v>
      </c>
      <c r="C32" s="99">
        <v>3999</v>
      </c>
      <c r="D32" s="99">
        <v>1855</v>
      </c>
      <c r="E32" s="99">
        <v>1538</v>
      </c>
      <c r="F32" s="99">
        <v>478</v>
      </c>
      <c r="G32" s="99">
        <v>128</v>
      </c>
      <c r="H32" s="100">
        <v>1.73</v>
      </c>
      <c r="I32" s="99">
        <v>3177</v>
      </c>
      <c r="J32" s="99">
        <v>822</v>
      </c>
      <c r="K32" s="101">
        <v>20.6</v>
      </c>
    </row>
    <row r="33" spans="1:11" ht="17.100000000000001" customHeight="1" x14ac:dyDescent="0.2">
      <c r="A33" s="128" t="s">
        <v>36</v>
      </c>
      <c r="B33" s="99">
        <v>211947</v>
      </c>
      <c r="C33" s="99">
        <v>40470</v>
      </c>
      <c r="D33" s="99">
        <v>19380</v>
      </c>
      <c r="E33" s="99">
        <v>15641</v>
      </c>
      <c r="F33" s="99">
        <v>4384</v>
      </c>
      <c r="G33" s="99">
        <v>1065</v>
      </c>
      <c r="H33" s="100">
        <v>1.69</v>
      </c>
      <c r="I33" s="99">
        <v>32400</v>
      </c>
      <c r="J33" s="99">
        <v>8070</v>
      </c>
      <c r="K33" s="101">
        <v>19.899999999999999</v>
      </c>
    </row>
    <row r="34" spans="1:11" ht="17.100000000000001" customHeight="1" x14ac:dyDescent="0.2">
      <c r="A34" s="128" t="s">
        <v>37</v>
      </c>
      <c r="B34" s="109">
        <v>327208</v>
      </c>
      <c r="C34" s="139">
        <v>57132</v>
      </c>
      <c r="D34" s="109">
        <v>28405</v>
      </c>
      <c r="E34" s="109">
        <v>21595</v>
      </c>
      <c r="F34" s="109">
        <v>5739</v>
      </c>
      <c r="G34" s="109">
        <v>1393</v>
      </c>
      <c r="H34" s="137">
        <v>1.66</v>
      </c>
      <c r="I34" s="109">
        <v>45354</v>
      </c>
      <c r="J34" s="109">
        <v>11778</v>
      </c>
      <c r="K34" s="138">
        <v>20.6</v>
      </c>
    </row>
  </sheetData>
  <mergeCells count="8">
    <mergeCell ref="A5:A7"/>
    <mergeCell ref="B5:B7"/>
    <mergeCell ref="C5:K5"/>
    <mergeCell ref="C6:C7"/>
    <mergeCell ref="D6:G6"/>
    <mergeCell ref="H6:H7"/>
    <mergeCell ref="I6:I7"/>
    <mergeCell ref="J6:K6"/>
  </mergeCells>
  <pageMargins left="0.7" right="0.7" top="0.78740157499999996" bottom="0.78740157499999996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4"/>
  <sheetViews>
    <sheetView workbookViewId="0">
      <selection sqref="A1:IV65536"/>
    </sheetView>
  </sheetViews>
  <sheetFormatPr baseColWidth="10" defaultColWidth="9.83203125" defaultRowHeight="12.75" customHeight="1" x14ac:dyDescent="0.2"/>
  <cols>
    <col min="1" max="1" width="21.1640625" style="117" customWidth="1"/>
    <col min="2" max="2" width="10.5" style="117" customWidth="1"/>
    <col min="3" max="3" width="9.6640625" style="117" customWidth="1"/>
    <col min="4" max="4" width="9.1640625" style="117" customWidth="1"/>
    <col min="5" max="7" width="9" style="117" customWidth="1"/>
    <col min="8" max="8" width="10.6640625" style="117" customWidth="1"/>
    <col min="9" max="10" width="9" style="117" customWidth="1"/>
    <col min="11" max="11" width="11.5" style="117" bestFit="1" customWidth="1"/>
    <col min="12" max="16384" width="9.83203125" style="117"/>
  </cols>
  <sheetData>
    <row r="1" spans="1:11" ht="12.75" customHeight="1" x14ac:dyDescent="0.2">
      <c r="A1" s="49" t="s">
        <v>77</v>
      </c>
      <c r="B1" s="49"/>
      <c r="C1" s="49"/>
      <c r="D1" s="49"/>
      <c r="E1" s="49"/>
      <c r="F1" s="49"/>
      <c r="G1" s="49"/>
      <c r="H1" s="87"/>
      <c r="I1" s="87"/>
      <c r="J1" s="87"/>
      <c r="K1" s="87"/>
    </row>
    <row r="3" spans="1:11" ht="26.25" customHeight="1" x14ac:dyDescent="0.2">
      <c r="A3" s="135" t="s">
        <v>103</v>
      </c>
      <c r="B3" s="119"/>
      <c r="C3" s="119"/>
      <c r="D3" s="119"/>
      <c r="E3" s="119"/>
      <c r="F3" s="119"/>
      <c r="G3" s="119"/>
      <c r="H3" s="119"/>
      <c r="I3" s="119"/>
      <c r="J3" s="119"/>
      <c r="K3" s="119"/>
    </row>
    <row r="4" spans="1:11" ht="12.6" customHeight="1" x14ac:dyDescent="0.2">
      <c r="A4" s="121"/>
      <c r="B4" s="122"/>
      <c r="C4" s="122"/>
      <c r="D4" s="122"/>
      <c r="E4" s="122"/>
      <c r="F4" s="122"/>
      <c r="G4" s="122"/>
      <c r="H4" s="122"/>
      <c r="I4" s="122"/>
      <c r="J4" s="122"/>
      <c r="K4" s="122"/>
    </row>
    <row r="5" spans="1:11" ht="12.6" customHeight="1" thickBot="1" x14ac:dyDescent="0.25">
      <c r="A5" s="154" t="s">
        <v>2</v>
      </c>
      <c r="B5" s="156" t="s">
        <v>92</v>
      </c>
      <c r="C5" s="158" t="s">
        <v>74</v>
      </c>
      <c r="D5" s="158"/>
      <c r="E5" s="158"/>
      <c r="F5" s="158"/>
      <c r="G5" s="158"/>
      <c r="H5" s="158"/>
      <c r="I5" s="158"/>
      <c r="J5" s="158"/>
      <c r="K5" s="159"/>
    </row>
    <row r="6" spans="1:11" ht="12.6" customHeight="1" thickBot="1" x14ac:dyDescent="0.25">
      <c r="A6" s="155"/>
      <c r="B6" s="157"/>
      <c r="C6" s="160" t="s">
        <v>3</v>
      </c>
      <c r="D6" s="160" t="s">
        <v>4</v>
      </c>
      <c r="E6" s="160"/>
      <c r="F6" s="160"/>
      <c r="G6" s="160"/>
      <c r="H6" s="157" t="s">
        <v>75</v>
      </c>
      <c r="I6" s="160" t="s">
        <v>6</v>
      </c>
      <c r="J6" s="161" t="s">
        <v>7</v>
      </c>
      <c r="K6" s="162"/>
    </row>
    <row r="7" spans="1:11" ht="12.6" customHeight="1" thickBot="1" x14ac:dyDescent="0.25">
      <c r="A7" s="155"/>
      <c r="B7" s="157"/>
      <c r="C7" s="160"/>
      <c r="D7" s="123">
        <v>1</v>
      </c>
      <c r="E7" s="123">
        <v>2</v>
      </c>
      <c r="F7" s="123">
        <v>3</v>
      </c>
      <c r="G7" s="123" t="s">
        <v>8</v>
      </c>
      <c r="H7" s="157"/>
      <c r="I7" s="160"/>
      <c r="J7" s="123" t="s">
        <v>10</v>
      </c>
      <c r="K7" s="124" t="s">
        <v>11</v>
      </c>
    </row>
    <row r="8" spans="1:11" ht="12.6" customHeight="1" x14ac:dyDescent="0.2">
      <c r="A8" s="125"/>
      <c r="B8" s="122"/>
      <c r="C8" s="122"/>
      <c r="D8" s="122"/>
      <c r="E8" s="122"/>
      <c r="F8" s="122"/>
      <c r="G8" s="122"/>
      <c r="H8" s="122"/>
      <c r="I8" s="122"/>
      <c r="J8" s="122"/>
      <c r="K8" s="122"/>
    </row>
    <row r="9" spans="1:11" ht="12.6" customHeight="1" x14ac:dyDescent="0.2">
      <c r="A9" s="126" t="s">
        <v>12</v>
      </c>
      <c r="B9" s="99">
        <v>15232</v>
      </c>
      <c r="C9" s="99">
        <f>SUM(D9:G9)</f>
        <v>1523</v>
      </c>
      <c r="D9" s="99">
        <v>876</v>
      </c>
      <c r="E9" s="99">
        <v>488</v>
      </c>
      <c r="F9" s="99">
        <v>108</v>
      </c>
      <c r="G9" s="99">
        <v>51</v>
      </c>
      <c r="H9" s="100">
        <v>1.57846355876559</v>
      </c>
      <c r="I9" s="99">
        <v>1177</v>
      </c>
      <c r="J9" s="99">
        <v>346</v>
      </c>
      <c r="K9" s="101">
        <f t="shared" ref="K9:K32" si="0">+J9/C9*100</f>
        <v>22.718319107025607</v>
      </c>
    </row>
    <row r="10" spans="1:11" ht="12.6" customHeight="1" x14ac:dyDescent="0.2">
      <c r="A10" s="126" t="s">
        <v>13</v>
      </c>
      <c r="B10" s="99">
        <v>14956</v>
      </c>
      <c r="C10" s="99">
        <f>SUM(D10:G10)</f>
        <v>2625</v>
      </c>
      <c r="D10" s="99">
        <v>1397</v>
      </c>
      <c r="E10" s="99">
        <v>877</v>
      </c>
      <c r="F10" s="99">
        <v>276</v>
      </c>
      <c r="G10" s="99">
        <v>75</v>
      </c>
      <c r="H10" s="100">
        <v>1.63809523809524</v>
      </c>
      <c r="I10" s="99">
        <v>2042</v>
      </c>
      <c r="J10" s="99">
        <v>583</v>
      </c>
      <c r="K10" s="101">
        <f t="shared" si="0"/>
        <v>22.209523809523809</v>
      </c>
    </row>
    <row r="11" spans="1:11" ht="12.6" customHeight="1" x14ac:dyDescent="0.2">
      <c r="A11" s="126" t="s">
        <v>14</v>
      </c>
      <c r="B11" s="99">
        <v>27532</v>
      </c>
      <c r="C11" s="99">
        <f>SUM(D11:G11)</f>
        <v>4261</v>
      </c>
      <c r="D11" s="99">
        <v>2266</v>
      </c>
      <c r="E11" s="99">
        <v>1531</v>
      </c>
      <c r="F11" s="99">
        <v>371</v>
      </c>
      <c r="G11" s="99">
        <v>93</v>
      </c>
      <c r="H11" s="100">
        <v>1.6047876085426001</v>
      </c>
      <c r="I11" s="99">
        <v>3209</v>
      </c>
      <c r="J11" s="99">
        <v>1052</v>
      </c>
      <c r="K11" s="101">
        <f t="shared" si="0"/>
        <v>24.689040131424548</v>
      </c>
    </row>
    <row r="12" spans="1:11" ht="12.6" customHeight="1" x14ac:dyDescent="0.2">
      <c r="A12" s="126" t="s">
        <v>15</v>
      </c>
      <c r="B12" s="99">
        <v>26176</v>
      </c>
      <c r="C12" s="99">
        <f>SUM(D12:G12)</f>
        <v>3866</v>
      </c>
      <c r="D12" s="99">
        <v>2078</v>
      </c>
      <c r="E12" s="99">
        <v>1414</v>
      </c>
      <c r="F12" s="99">
        <v>315</v>
      </c>
      <c r="G12" s="99">
        <v>59</v>
      </c>
      <c r="H12" s="100">
        <v>1.5773409208484199</v>
      </c>
      <c r="I12" s="99">
        <v>3033</v>
      </c>
      <c r="J12" s="99">
        <v>833</v>
      </c>
      <c r="K12" s="101">
        <f t="shared" si="0"/>
        <v>21.546818416968446</v>
      </c>
    </row>
    <row r="13" spans="1:11" ht="12.6" customHeight="1" x14ac:dyDescent="0.2">
      <c r="A13" s="126" t="s">
        <v>16</v>
      </c>
      <c r="B13" s="99">
        <v>31020</v>
      </c>
      <c r="C13" s="99">
        <f>SUM(D13:G13)</f>
        <v>4202</v>
      </c>
      <c r="D13" s="99">
        <v>2286</v>
      </c>
      <c r="E13" s="99">
        <v>1540</v>
      </c>
      <c r="F13" s="99">
        <v>321</v>
      </c>
      <c r="G13" s="99">
        <v>55</v>
      </c>
      <c r="H13" s="100">
        <v>1.56187529747739</v>
      </c>
      <c r="I13" s="99">
        <v>3315</v>
      </c>
      <c r="J13" s="99">
        <v>887</v>
      </c>
      <c r="K13" s="101">
        <f t="shared" si="0"/>
        <v>21.108995716325559</v>
      </c>
    </row>
    <row r="14" spans="1:11" ht="17.100000000000001" customHeight="1" x14ac:dyDescent="0.2">
      <c r="A14" s="128" t="s">
        <v>17</v>
      </c>
      <c r="B14" s="99">
        <f t="shared" ref="B14:G14" si="1">SUM(B9:B13)</f>
        <v>114916</v>
      </c>
      <c r="C14" s="99">
        <f t="shared" si="1"/>
        <v>16477</v>
      </c>
      <c r="D14" s="99">
        <f t="shared" si="1"/>
        <v>8903</v>
      </c>
      <c r="E14" s="99">
        <f t="shared" si="1"/>
        <v>5850</v>
      </c>
      <c r="F14" s="99">
        <f t="shared" si="1"/>
        <v>1391</v>
      </c>
      <c r="G14" s="99">
        <f t="shared" si="1"/>
        <v>333</v>
      </c>
      <c r="H14" s="100">
        <v>1.59</v>
      </c>
      <c r="I14" s="99">
        <f>SUM(I9:I13)</f>
        <v>12776</v>
      </c>
      <c r="J14" s="99">
        <f>SUM(J9:J13)</f>
        <v>3701</v>
      </c>
      <c r="K14" s="101">
        <f t="shared" si="0"/>
        <v>22.461613157735023</v>
      </c>
    </row>
    <row r="15" spans="1:11" ht="12.6" customHeight="1" x14ac:dyDescent="0.2">
      <c r="A15" s="126" t="s">
        <v>18</v>
      </c>
      <c r="B15" s="99">
        <v>37202</v>
      </c>
      <c r="C15" s="99">
        <f t="shared" ref="C15:C32" si="2">SUM(D15:G15)</f>
        <v>7059</v>
      </c>
      <c r="D15" s="99">
        <v>3493</v>
      </c>
      <c r="E15" s="99">
        <v>2574</v>
      </c>
      <c r="F15" s="99">
        <v>800</v>
      </c>
      <c r="G15" s="99">
        <v>192</v>
      </c>
      <c r="H15" s="100">
        <v>1.67969967417481</v>
      </c>
      <c r="I15" s="99">
        <v>5461</v>
      </c>
      <c r="J15" s="99">
        <v>1598</v>
      </c>
      <c r="K15" s="101">
        <f t="shared" si="0"/>
        <v>22.637767389148607</v>
      </c>
    </row>
    <row r="16" spans="1:11" ht="12.6" customHeight="1" x14ac:dyDescent="0.2">
      <c r="A16" s="126" t="s">
        <v>19</v>
      </c>
      <c r="B16" s="99">
        <v>3667</v>
      </c>
      <c r="C16" s="99">
        <f t="shared" si="2"/>
        <v>636</v>
      </c>
      <c r="D16" s="99">
        <v>275</v>
      </c>
      <c r="E16" s="99">
        <v>277</v>
      </c>
      <c r="F16" s="99">
        <v>70</v>
      </c>
      <c r="G16" s="99">
        <v>14</v>
      </c>
      <c r="H16" s="100">
        <v>1.7232704402515699</v>
      </c>
      <c r="I16" s="99">
        <v>505</v>
      </c>
      <c r="J16" s="99">
        <v>131</v>
      </c>
      <c r="K16" s="101">
        <f t="shared" si="0"/>
        <v>20.59748427672956</v>
      </c>
    </row>
    <row r="17" spans="1:11" ht="12.6" customHeight="1" x14ac:dyDescent="0.2">
      <c r="A17" s="126" t="s">
        <v>20</v>
      </c>
      <c r="B17" s="99">
        <v>6750</v>
      </c>
      <c r="C17" s="99">
        <f t="shared" si="2"/>
        <v>1249</v>
      </c>
      <c r="D17" s="99">
        <v>598</v>
      </c>
      <c r="E17" s="99">
        <v>479</v>
      </c>
      <c r="F17" s="99">
        <v>142</v>
      </c>
      <c r="G17" s="99">
        <v>30</v>
      </c>
      <c r="H17" s="100">
        <v>1.69095276220977</v>
      </c>
      <c r="I17" s="99">
        <v>1012</v>
      </c>
      <c r="J17" s="99">
        <v>237</v>
      </c>
      <c r="K17" s="101">
        <f t="shared" si="0"/>
        <v>18.975180144115292</v>
      </c>
    </row>
    <row r="18" spans="1:11" ht="12.6" customHeight="1" x14ac:dyDescent="0.2">
      <c r="A18" s="126" t="s">
        <v>21</v>
      </c>
      <c r="B18" s="99">
        <v>8818</v>
      </c>
      <c r="C18" s="99">
        <f t="shared" si="2"/>
        <v>1606</v>
      </c>
      <c r="D18" s="99">
        <v>747</v>
      </c>
      <c r="E18" s="99">
        <v>674</v>
      </c>
      <c r="F18" s="99">
        <v>135</v>
      </c>
      <c r="G18" s="99">
        <v>50</v>
      </c>
      <c r="H18" s="100">
        <v>1.69800747198007</v>
      </c>
      <c r="I18" s="99">
        <v>1310</v>
      </c>
      <c r="J18" s="99">
        <v>296</v>
      </c>
      <c r="K18" s="101">
        <f t="shared" si="0"/>
        <v>18.430884184308841</v>
      </c>
    </row>
    <row r="19" spans="1:11" ht="12.6" customHeight="1" x14ac:dyDescent="0.2">
      <c r="A19" s="126" t="s">
        <v>22</v>
      </c>
      <c r="B19" s="99">
        <v>15722</v>
      </c>
      <c r="C19" s="99">
        <f t="shared" si="2"/>
        <v>2964</v>
      </c>
      <c r="D19" s="99">
        <v>1445</v>
      </c>
      <c r="E19" s="99">
        <v>1135</v>
      </c>
      <c r="F19" s="99">
        <v>302</v>
      </c>
      <c r="G19" s="99">
        <v>82</v>
      </c>
      <c r="H19" s="100">
        <v>1.68016194331984</v>
      </c>
      <c r="I19" s="99">
        <v>2405</v>
      </c>
      <c r="J19" s="99">
        <v>559</v>
      </c>
      <c r="K19" s="101">
        <f t="shared" si="0"/>
        <v>18.859649122807017</v>
      </c>
    </row>
    <row r="20" spans="1:11" ht="12.6" customHeight="1" x14ac:dyDescent="0.2">
      <c r="A20" s="126" t="s">
        <v>23</v>
      </c>
      <c r="B20" s="99">
        <v>5234</v>
      </c>
      <c r="C20" s="99">
        <f t="shared" si="2"/>
        <v>970</v>
      </c>
      <c r="D20" s="99">
        <v>438</v>
      </c>
      <c r="E20" s="99">
        <v>401</v>
      </c>
      <c r="F20" s="99">
        <v>106</v>
      </c>
      <c r="G20" s="99">
        <v>25</v>
      </c>
      <c r="H20" s="100">
        <v>1.7185567010309299</v>
      </c>
      <c r="I20" s="99">
        <v>798</v>
      </c>
      <c r="J20" s="99">
        <v>172</v>
      </c>
      <c r="K20" s="101">
        <f t="shared" si="0"/>
        <v>17.731958762886599</v>
      </c>
    </row>
    <row r="21" spans="1:11" ht="12.6" customHeight="1" x14ac:dyDescent="0.2">
      <c r="A21" s="126" t="s">
        <v>24</v>
      </c>
      <c r="B21" s="99">
        <v>16954</v>
      </c>
      <c r="C21" s="99">
        <f t="shared" si="2"/>
        <v>3197</v>
      </c>
      <c r="D21" s="99">
        <v>1565</v>
      </c>
      <c r="E21" s="99">
        <v>1230</v>
      </c>
      <c r="F21" s="99">
        <v>322</v>
      </c>
      <c r="G21" s="99">
        <v>80</v>
      </c>
      <c r="H21" s="100">
        <v>1.6696903346887699</v>
      </c>
      <c r="I21" s="99">
        <v>2686</v>
      </c>
      <c r="J21" s="99">
        <v>511</v>
      </c>
      <c r="K21" s="101">
        <f t="shared" si="0"/>
        <v>15.98373475132937</v>
      </c>
    </row>
    <row r="22" spans="1:11" ht="12.6" customHeight="1" x14ac:dyDescent="0.2">
      <c r="A22" s="126" t="s">
        <v>25</v>
      </c>
      <c r="B22" s="99">
        <v>12195</v>
      </c>
      <c r="C22" s="99">
        <f t="shared" si="2"/>
        <v>2470</v>
      </c>
      <c r="D22" s="99">
        <v>1206</v>
      </c>
      <c r="E22" s="99">
        <v>924</v>
      </c>
      <c r="F22" s="99">
        <v>275</v>
      </c>
      <c r="G22" s="99">
        <v>65</v>
      </c>
      <c r="H22" s="100">
        <v>1.68421052631579</v>
      </c>
      <c r="I22" s="99">
        <v>1904</v>
      </c>
      <c r="J22" s="99">
        <v>566</v>
      </c>
      <c r="K22" s="101">
        <f t="shared" si="0"/>
        <v>22.914979757085018</v>
      </c>
    </row>
    <row r="23" spans="1:11" ht="12.6" customHeight="1" x14ac:dyDescent="0.2">
      <c r="A23" s="126" t="s">
        <v>26</v>
      </c>
      <c r="B23" s="99">
        <v>3554</v>
      </c>
      <c r="C23" s="99">
        <f t="shared" si="2"/>
        <v>594</v>
      </c>
      <c r="D23" s="99">
        <v>276</v>
      </c>
      <c r="E23" s="99">
        <v>242</v>
      </c>
      <c r="F23" s="99">
        <v>58</v>
      </c>
      <c r="G23" s="99">
        <v>18</v>
      </c>
      <c r="H23" s="100">
        <v>1.7070707070707101</v>
      </c>
      <c r="I23" s="99">
        <v>482</v>
      </c>
      <c r="J23" s="99">
        <v>112</v>
      </c>
      <c r="K23" s="101">
        <f t="shared" si="0"/>
        <v>18.855218855218855</v>
      </c>
    </row>
    <row r="24" spans="1:11" ht="12.6" customHeight="1" x14ac:dyDescent="0.2">
      <c r="A24" s="126" t="s">
        <v>27</v>
      </c>
      <c r="B24" s="99">
        <v>4358</v>
      </c>
      <c r="C24" s="99">
        <f t="shared" si="2"/>
        <v>852</v>
      </c>
      <c r="D24" s="99">
        <v>396</v>
      </c>
      <c r="E24" s="99">
        <v>327</v>
      </c>
      <c r="F24" s="99">
        <v>94</v>
      </c>
      <c r="G24" s="99">
        <v>35</v>
      </c>
      <c r="H24" s="100">
        <v>1.73826291079812</v>
      </c>
      <c r="I24" s="99">
        <v>671</v>
      </c>
      <c r="J24" s="99">
        <v>181</v>
      </c>
      <c r="K24" s="101">
        <f t="shared" si="0"/>
        <v>21.244131455399064</v>
      </c>
    </row>
    <row r="25" spans="1:11" ht="12.6" customHeight="1" x14ac:dyDescent="0.2">
      <c r="A25" s="126" t="s">
        <v>28</v>
      </c>
      <c r="B25" s="99">
        <v>7336</v>
      </c>
      <c r="C25" s="99">
        <f t="shared" si="2"/>
        <v>1165</v>
      </c>
      <c r="D25" s="99">
        <v>539</v>
      </c>
      <c r="E25" s="99">
        <v>473</v>
      </c>
      <c r="F25" s="99">
        <v>122</v>
      </c>
      <c r="G25" s="99">
        <v>31</v>
      </c>
      <c r="H25" s="100">
        <v>1.70042918454936</v>
      </c>
      <c r="I25" s="99">
        <v>960</v>
      </c>
      <c r="J25" s="99">
        <v>205</v>
      </c>
      <c r="K25" s="101">
        <f t="shared" si="0"/>
        <v>17.596566523605151</v>
      </c>
    </row>
    <row r="26" spans="1:11" ht="12.6" customHeight="1" x14ac:dyDescent="0.2">
      <c r="A26" s="126" t="s">
        <v>29</v>
      </c>
      <c r="B26" s="99">
        <v>12341</v>
      </c>
      <c r="C26" s="99">
        <f t="shared" si="2"/>
        <v>2401</v>
      </c>
      <c r="D26" s="99">
        <v>1111</v>
      </c>
      <c r="E26" s="99">
        <v>980</v>
      </c>
      <c r="F26" s="99">
        <v>265</v>
      </c>
      <c r="G26" s="99">
        <v>45</v>
      </c>
      <c r="H26" s="100">
        <v>1.6905456059974999</v>
      </c>
      <c r="I26" s="99">
        <v>1939</v>
      </c>
      <c r="J26" s="99">
        <v>462</v>
      </c>
      <c r="K26" s="101">
        <f t="shared" si="0"/>
        <v>19.241982507288629</v>
      </c>
    </row>
    <row r="27" spans="1:11" ht="12.6" customHeight="1" x14ac:dyDescent="0.2">
      <c r="A27" s="126" t="s">
        <v>30</v>
      </c>
      <c r="B27" s="99">
        <v>6326</v>
      </c>
      <c r="C27" s="99">
        <f t="shared" si="2"/>
        <v>1193</v>
      </c>
      <c r="D27" s="99">
        <v>610</v>
      </c>
      <c r="E27" s="99">
        <v>448</v>
      </c>
      <c r="F27" s="99">
        <v>118</v>
      </c>
      <c r="G27" s="99">
        <v>17</v>
      </c>
      <c r="H27" s="100">
        <v>1.6202849958088901</v>
      </c>
      <c r="I27" s="99">
        <v>940</v>
      </c>
      <c r="J27" s="99">
        <v>253</v>
      </c>
      <c r="K27" s="101">
        <f t="shared" si="0"/>
        <v>21.207041072925399</v>
      </c>
    </row>
    <row r="28" spans="1:11" ht="12.6" customHeight="1" x14ac:dyDescent="0.2">
      <c r="A28" s="126" t="s">
        <v>31</v>
      </c>
      <c r="B28" s="99">
        <v>8686</v>
      </c>
      <c r="C28" s="99">
        <f t="shared" si="2"/>
        <v>1632</v>
      </c>
      <c r="D28" s="99">
        <v>809</v>
      </c>
      <c r="E28" s="99">
        <v>630</v>
      </c>
      <c r="F28" s="99">
        <v>141</v>
      </c>
      <c r="G28" s="99">
        <v>52</v>
      </c>
      <c r="H28" s="100">
        <v>1.6605392156862699</v>
      </c>
      <c r="I28" s="99">
        <v>1294</v>
      </c>
      <c r="J28" s="99">
        <v>338</v>
      </c>
      <c r="K28" s="101">
        <f t="shared" si="0"/>
        <v>20.71078431372549</v>
      </c>
    </row>
    <row r="29" spans="1:11" ht="12.6" customHeight="1" x14ac:dyDescent="0.2">
      <c r="A29" s="126" t="s">
        <v>32</v>
      </c>
      <c r="B29" s="99">
        <v>24575</v>
      </c>
      <c r="C29" s="99">
        <f t="shared" si="2"/>
        <v>4228</v>
      </c>
      <c r="D29" s="99">
        <v>1996</v>
      </c>
      <c r="E29" s="99">
        <v>1697</v>
      </c>
      <c r="F29" s="99">
        <v>458</v>
      </c>
      <c r="G29" s="99">
        <v>77</v>
      </c>
      <c r="H29" s="100">
        <v>1.67928098391675</v>
      </c>
      <c r="I29" s="99">
        <v>3484</v>
      </c>
      <c r="J29" s="99">
        <v>744</v>
      </c>
      <c r="K29" s="101">
        <f t="shared" si="0"/>
        <v>17.596972563859982</v>
      </c>
    </row>
    <row r="30" spans="1:11" ht="12.6" customHeight="1" x14ac:dyDescent="0.2">
      <c r="A30" s="126" t="s">
        <v>33</v>
      </c>
      <c r="B30" s="99">
        <v>4822</v>
      </c>
      <c r="C30" s="99">
        <f t="shared" si="2"/>
        <v>916</v>
      </c>
      <c r="D30" s="99">
        <v>448</v>
      </c>
      <c r="E30" s="99">
        <v>332</v>
      </c>
      <c r="F30" s="99">
        <v>106</v>
      </c>
      <c r="G30" s="99">
        <v>30</v>
      </c>
      <c r="H30" s="100">
        <v>1.70087336244541</v>
      </c>
      <c r="I30" s="99">
        <v>715</v>
      </c>
      <c r="J30" s="99">
        <v>201</v>
      </c>
      <c r="K30" s="101">
        <f t="shared" si="0"/>
        <v>21.943231441048034</v>
      </c>
    </row>
    <row r="31" spans="1:11" ht="12.6" customHeight="1" x14ac:dyDescent="0.2">
      <c r="A31" s="126" t="s">
        <v>34</v>
      </c>
      <c r="B31" s="99">
        <v>14958</v>
      </c>
      <c r="C31" s="99">
        <f t="shared" si="2"/>
        <v>3424</v>
      </c>
      <c r="D31" s="99">
        <v>1609</v>
      </c>
      <c r="E31" s="99">
        <v>1381</v>
      </c>
      <c r="F31" s="99">
        <v>354</v>
      </c>
      <c r="G31" s="99">
        <v>80</v>
      </c>
      <c r="H31" s="100">
        <v>1.6889602803738299</v>
      </c>
      <c r="I31" s="99">
        <v>2756</v>
      </c>
      <c r="J31" s="99">
        <v>668</v>
      </c>
      <c r="K31" s="101">
        <f t="shared" si="0"/>
        <v>19.509345794392523</v>
      </c>
    </row>
    <row r="32" spans="1:11" ht="12.6" customHeight="1" x14ac:dyDescent="0.2">
      <c r="A32" s="126" t="s">
        <v>35</v>
      </c>
      <c r="B32" s="99">
        <v>18880</v>
      </c>
      <c r="C32" s="99">
        <f t="shared" si="2"/>
        <v>4043</v>
      </c>
      <c r="D32" s="99">
        <v>1908</v>
      </c>
      <c r="E32" s="99">
        <v>1514</v>
      </c>
      <c r="F32" s="99">
        <v>495</v>
      </c>
      <c r="G32" s="99">
        <v>126</v>
      </c>
      <c r="H32" s="100">
        <v>1.72174128122681</v>
      </c>
      <c r="I32" s="99">
        <v>3213</v>
      </c>
      <c r="J32" s="99">
        <v>830</v>
      </c>
      <c r="K32" s="101">
        <f t="shared" si="0"/>
        <v>20.529309918377443</v>
      </c>
    </row>
    <row r="33" spans="1:11" ht="17.100000000000001" customHeight="1" x14ac:dyDescent="0.2">
      <c r="A33" s="128" t="s">
        <v>36</v>
      </c>
      <c r="B33" s="99">
        <f t="shared" ref="B33:G33" si="3">SUM(B15:B32)</f>
        <v>212378</v>
      </c>
      <c r="C33" s="99">
        <f t="shared" si="3"/>
        <v>40599</v>
      </c>
      <c r="D33" s="99">
        <f t="shared" si="3"/>
        <v>19469</v>
      </c>
      <c r="E33" s="99">
        <f t="shared" si="3"/>
        <v>15718</v>
      </c>
      <c r="F33" s="99">
        <f t="shared" si="3"/>
        <v>4363</v>
      </c>
      <c r="G33" s="99">
        <f t="shared" si="3"/>
        <v>1049</v>
      </c>
      <c r="H33" s="100">
        <v>1.68</v>
      </c>
      <c r="I33" s="99">
        <f>SUM(I15:I32)</f>
        <v>32535</v>
      </c>
      <c r="J33" s="99">
        <f>SUM(J15:J32)</f>
        <v>8064</v>
      </c>
      <c r="K33" s="101">
        <f>+J33/C33*100</f>
        <v>19.86255819108845</v>
      </c>
    </row>
    <row r="34" spans="1:11" ht="17.100000000000001" customHeight="1" x14ac:dyDescent="0.2">
      <c r="A34" s="128" t="s">
        <v>37</v>
      </c>
      <c r="B34" s="109">
        <f>B14+B33</f>
        <v>327294</v>
      </c>
      <c r="C34" s="139">
        <f>SUM(D34:G34)</f>
        <v>57076</v>
      </c>
      <c r="D34" s="109">
        <f>D14+D33</f>
        <v>28372</v>
      </c>
      <c r="E34" s="109">
        <f>E14+E33</f>
        <v>21568</v>
      </c>
      <c r="F34" s="109">
        <f>F14+F33</f>
        <v>5754</v>
      </c>
      <c r="G34" s="109">
        <f>G14+G33</f>
        <v>1382</v>
      </c>
      <c r="H34" s="137">
        <v>1.66</v>
      </c>
      <c r="I34" s="109">
        <f>I14+I33</f>
        <v>45311</v>
      </c>
      <c r="J34" s="109">
        <f>J14+J33</f>
        <v>11765</v>
      </c>
      <c r="K34" s="138">
        <f>+J34/C34*100</f>
        <v>20.612867054453709</v>
      </c>
    </row>
  </sheetData>
  <mergeCells count="8">
    <mergeCell ref="A5:A7"/>
    <mergeCell ref="B5:B7"/>
    <mergeCell ref="C5:K5"/>
    <mergeCell ref="C6:C7"/>
    <mergeCell ref="D6:G6"/>
    <mergeCell ref="H6:H7"/>
    <mergeCell ref="I6:I7"/>
    <mergeCell ref="J6:K6"/>
  </mergeCells>
  <pageMargins left="0.59055118110236227" right="0.59055118110236227" top="0.59055118110236227" bottom="0.59055118110236227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4"/>
  <sheetViews>
    <sheetView workbookViewId="0">
      <selection activeCell="J12" sqref="J12"/>
    </sheetView>
  </sheetViews>
  <sheetFormatPr baseColWidth="10" defaultColWidth="9.83203125" defaultRowHeight="12.75" customHeight="1" x14ac:dyDescent="0.2"/>
  <cols>
    <col min="1" max="1" width="21.1640625" style="117" customWidth="1"/>
    <col min="2" max="2" width="10.5" style="117" customWidth="1"/>
    <col min="3" max="3" width="9.6640625" style="117" customWidth="1"/>
    <col min="4" max="4" width="9.1640625" style="117" customWidth="1"/>
    <col min="5" max="7" width="9" style="117" customWidth="1"/>
    <col min="8" max="8" width="10.6640625" style="117" customWidth="1"/>
    <col min="9" max="10" width="9" style="117" customWidth="1"/>
    <col min="11" max="11" width="11.5" style="117" bestFit="1" customWidth="1"/>
    <col min="12" max="16384" width="9.83203125" style="117"/>
  </cols>
  <sheetData>
    <row r="1" spans="1:11" ht="12.75" customHeight="1" x14ac:dyDescent="0.2">
      <c r="A1" s="49" t="s">
        <v>77</v>
      </c>
      <c r="B1" s="49"/>
      <c r="C1" s="49"/>
      <c r="D1" s="49"/>
      <c r="E1" s="49"/>
      <c r="F1" s="49"/>
      <c r="G1" s="49"/>
      <c r="H1" s="87"/>
      <c r="I1" s="87"/>
      <c r="J1" s="87"/>
      <c r="K1" s="87"/>
    </row>
    <row r="3" spans="1:11" ht="26.25" customHeight="1" x14ac:dyDescent="0.2">
      <c r="A3" s="135" t="s">
        <v>102</v>
      </c>
      <c r="B3" s="119"/>
      <c r="C3" s="119"/>
      <c r="D3" s="119"/>
      <c r="E3" s="119"/>
      <c r="F3" s="119"/>
      <c r="G3" s="119"/>
      <c r="H3" s="119"/>
      <c r="I3" s="119"/>
      <c r="J3" s="119"/>
      <c r="K3" s="119"/>
    </row>
    <row r="4" spans="1:11" ht="12.6" customHeight="1" x14ac:dyDescent="0.2">
      <c r="A4" s="121"/>
      <c r="B4" s="122"/>
      <c r="C4" s="122"/>
      <c r="D4" s="122"/>
      <c r="E4" s="122"/>
      <c r="F4" s="122"/>
      <c r="G4" s="122"/>
      <c r="H4" s="122"/>
      <c r="I4" s="122"/>
      <c r="J4" s="122"/>
      <c r="K4" s="122"/>
    </row>
    <row r="5" spans="1:11" ht="12.6" customHeight="1" thickBot="1" x14ac:dyDescent="0.25">
      <c r="A5" s="154" t="s">
        <v>2</v>
      </c>
      <c r="B5" s="156" t="s">
        <v>92</v>
      </c>
      <c r="C5" s="158" t="s">
        <v>74</v>
      </c>
      <c r="D5" s="158"/>
      <c r="E5" s="158"/>
      <c r="F5" s="158"/>
      <c r="G5" s="158"/>
      <c r="H5" s="158"/>
      <c r="I5" s="158"/>
      <c r="J5" s="158"/>
      <c r="K5" s="159"/>
    </row>
    <row r="6" spans="1:11" ht="12.6" customHeight="1" thickBot="1" x14ac:dyDescent="0.25">
      <c r="A6" s="155"/>
      <c r="B6" s="157"/>
      <c r="C6" s="160" t="s">
        <v>3</v>
      </c>
      <c r="D6" s="160" t="s">
        <v>4</v>
      </c>
      <c r="E6" s="160"/>
      <c r="F6" s="160"/>
      <c r="G6" s="160"/>
      <c r="H6" s="157" t="s">
        <v>75</v>
      </c>
      <c r="I6" s="160" t="s">
        <v>6</v>
      </c>
      <c r="J6" s="161" t="s">
        <v>7</v>
      </c>
      <c r="K6" s="162"/>
    </row>
    <row r="7" spans="1:11" ht="12.6" customHeight="1" thickBot="1" x14ac:dyDescent="0.25">
      <c r="A7" s="155"/>
      <c r="B7" s="157"/>
      <c r="C7" s="160"/>
      <c r="D7" s="123">
        <v>1</v>
      </c>
      <c r="E7" s="123">
        <v>2</v>
      </c>
      <c r="F7" s="123">
        <v>3</v>
      </c>
      <c r="G7" s="123" t="s">
        <v>8</v>
      </c>
      <c r="H7" s="157"/>
      <c r="I7" s="160"/>
      <c r="J7" s="123" t="s">
        <v>10</v>
      </c>
      <c r="K7" s="124" t="s">
        <v>11</v>
      </c>
    </row>
    <row r="8" spans="1:11" ht="12.6" customHeight="1" x14ac:dyDescent="0.2">
      <c r="A8" s="125"/>
      <c r="B8" s="122"/>
      <c r="C8" s="122"/>
      <c r="D8" s="122"/>
      <c r="E8" s="122"/>
      <c r="F8" s="122"/>
      <c r="G8" s="122"/>
      <c r="H8" s="122"/>
      <c r="I8" s="122"/>
      <c r="J8" s="122"/>
      <c r="K8" s="122"/>
    </row>
    <row r="9" spans="1:11" ht="12.6" customHeight="1" x14ac:dyDescent="0.2">
      <c r="A9" s="126" t="s">
        <v>12</v>
      </c>
      <c r="B9" s="99">
        <v>15135</v>
      </c>
      <c r="C9" s="99">
        <f>SUM(D9:G9)</f>
        <v>1503</v>
      </c>
      <c r="D9" s="99">
        <v>864</v>
      </c>
      <c r="E9" s="99">
        <v>474</v>
      </c>
      <c r="F9" s="99">
        <v>120</v>
      </c>
      <c r="G9" s="99">
        <v>45</v>
      </c>
      <c r="H9" s="100">
        <v>1.58</v>
      </c>
      <c r="I9" s="99">
        <f>C9-J9</f>
        <v>1148</v>
      </c>
      <c r="J9" s="99">
        <v>355</v>
      </c>
      <c r="K9" s="101">
        <f t="shared" ref="K9:K32" si="0">+J9/C9*100</f>
        <v>23.619427811044577</v>
      </c>
    </row>
    <row r="10" spans="1:11" ht="12.6" customHeight="1" x14ac:dyDescent="0.2">
      <c r="A10" s="126" t="s">
        <v>13</v>
      </c>
      <c r="B10" s="99">
        <v>14918</v>
      </c>
      <c r="C10" s="99">
        <f>SUM(D10:G10)</f>
        <v>2624</v>
      </c>
      <c r="D10" s="99">
        <v>1405</v>
      </c>
      <c r="E10" s="99">
        <v>880</v>
      </c>
      <c r="F10" s="99">
        <v>267</v>
      </c>
      <c r="G10" s="99">
        <v>72</v>
      </c>
      <c r="H10" s="100">
        <v>1.63</v>
      </c>
      <c r="I10" s="99">
        <f>C10-J10</f>
        <v>2027</v>
      </c>
      <c r="J10" s="99">
        <v>597</v>
      </c>
      <c r="K10" s="101">
        <f t="shared" si="0"/>
        <v>22.751524390243901</v>
      </c>
    </row>
    <row r="11" spans="1:11" ht="12.6" customHeight="1" x14ac:dyDescent="0.2">
      <c r="A11" s="126" t="s">
        <v>14</v>
      </c>
      <c r="B11" s="99">
        <v>27521</v>
      </c>
      <c r="C11" s="99">
        <f>SUM(D11:G11)</f>
        <v>4251</v>
      </c>
      <c r="D11" s="99">
        <v>2306</v>
      </c>
      <c r="E11" s="99">
        <v>1480</v>
      </c>
      <c r="F11" s="99">
        <v>367</v>
      </c>
      <c r="G11" s="99">
        <v>98</v>
      </c>
      <c r="H11" s="100">
        <v>1.6</v>
      </c>
      <c r="I11" s="99">
        <f>C11-J11</f>
        <v>3171</v>
      </c>
      <c r="J11" s="99">
        <v>1080</v>
      </c>
      <c r="K11" s="101">
        <f t="shared" si="0"/>
        <v>25.405786873676782</v>
      </c>
    </row>
    <row r="12" spans="1:11" ht="12.6" customHeight="1" x14ac:dyDescent="0.2">
      <c r="A12" s="126" t="s">
        <v>15</v>
      </c>
      <c r="B12" s="99">
        <v>26098</v>
      </c>
      <c r="C12" s="99">
        <f>SUM(D12:G12)</f>
        <v>3872</v>
      </c>
      <c r="D12" s="99">
        <v>2121</v>
      </c>
      <c r="E12" s="99">
        <v>1387</v>
      </c>
      <c r="F12" s="99">
        <v>307</v>
      </c>
      <c r="G12" s="99">
        <v>57</v>
      </c>
      <c r="H12" s="100">
        <v>1.56</v>
      </c>
      <c r="I12" s="99">
        <f>C12-J12</f>
        <v>3033</v>
      </c>
      <c r="J12" s="99">
        <v>839</v>
      </c>
      <c r="K12" s="101">
        <f t="shared" si="0"/>
        <v>21.668388429752067</v>
      </c>
    </row>
    <row r="13" spans="1:11" ht="12.6" customHeight="1" x14ac:dyDescent="0.2">
      <c r="A13" s="126" t="s">
        <v>16</v>
      </c>
      <c r="B13" s="99">
        <v>30980</v>
      </c>
      <c r="C13" s="99">
        <f>SUM(D13:G13)</f>
        <v>4175</v>
      </c>
      <c r="D13" s="99">
        <v>2262</v>
      </c>
      <c r="E13" s="99">
        <v>1526</v>
      </c>
      <c r="F13" s="99">
        <v>329</v>
      </c>
      <c r="G13" s="99">
        <v>58</v>
      </c>
      <c r="H13" s="100">
        <v>1.57</v>
      </c>
      <c r="I13" s="99">
        <f>C13-J13</f>
        <v>3271</v>
      </c>
      <c r="J13" s="99">
        <v>904</v>
      </c>
      <c r="K13" s="101">
        <f t="shared" si="0"/>
        <v>21.652694610778443</v>
      </c>
    </row>
    <row r="14" spans="1:11" ht="17.100000000000001" customHeight="1" x14ac:dyDescent="0.2">
      <c r="A14" s="128" t="s">
        <v>17</v>
      </c>
      <c r="B14" s="99">
        <f t="shared" ref="B14:G14" si="1">SUM(B9:B13)</f>
        <v>114652</v>
      </c>
      <c r="C14" s="99">
        <f t="shared" si="1"/>
        <v>16425</v>
      </c>
      <c r="D14" s="99">
        <f t="shared" si="1"/>
        <v>8958</v>
      </c>
      <c r="E14" s="99">
        <f t="shared" si="1"/>
        <v>5747</v>
      </c>
      <c r="F14" s="99">
        <f t="shared" si="1"/>
        <v>1390</v>
      </c>
      <c r="G14" s="99">
        <f t="shared" si="1"/>
        <v>330</v>
      </c>
      <c r="H14" s="100">
        <v>1.59</v>
      </c>
      <c r="I14" s="99">
        <f>SUM(I9:I13)</f>
        <v>12650</v>
      </c>
      <c r="J14" s="99">
        <f>SUM(J9:J13)</f>
        <v>3775</v>
      </c>
      <c r="K14" s="101">
        <f t="shared" si="0"/>
        <v>22.983257229832571</v>
      </c>
    </row>
    <row r="15" spans="1:11" ht="12.6" customHeight="1" x14ac:dyDescent="0.2">
      <c r="A15" s="126" t="s">
        <v>18</v>
      </c>
      <c r="B15" s="99">
        <v>36968</v>
      </c>
      <c r="C15" s="99">
        <f t="shared" ref="C15:C32" si="2">SUM(D15:G15)</f>
        <v>7148</v>
      </c>
      <c r="D15" s="99">
        <v>3589</v>
      </c>
      <c r="E15" s="99">
        <v>2565</v>
      </c>
      <c r="F15" s="99">
        <v>802</v>
      </c>
      <c r="G15" s="99">
        <v>192</v>
      </c>
      <c r="H15" s="100">
        <v>1.67</v>
      </c>
      <c r="I15" s="99">
        <f>C15-J15</f>
        <v>5517</v>
      </c>
      <c r="J15" s="99">
        <v>1631</v>
      </c>
      <c r="K15" s="101">
        <f t="shared" si="0"/>
        <v>22.817571348628988</v>
      </c>
    </row>
    <row r="16" spans="1:11" ht="12.6" customHeight="1" x14ac:dyDescent="0.2">
      <c r="A16" s="126" t="s">
        <v>19</v>
      </c>
      <c r="B16" s="99">
        <v>3594</v>
      </c>
      <c r="C16" s="99">
        <f t="shared" si="2"/>
        <v>631</v>
      </c>
      <c r="D16" s="99">
        <v>272</v>
      </c>
      <c r="E16" s="99">
        <v>270</v>
      </c>
      <c r="F16" s="99">
        <v>76</v>
      </c>
      <c r="G16" s="99">
        <v>13</v>
      </c>
      <c r="H16" s="100">
        <v>1.73</v>
      </c>
      <c r="I16" s="99">
        <f t="shared" ref="I16:I32" si="3">C16-J16</f>
        <v>512</v>
      </c>
      <c r="J16" s="99">
        <v>119</v>
      </c>
      <c r="K16" s="101">
        <f t="shared" si="0"/>
        <v>18.858954041204438</v>
      </c>
    </row>
    <row r="17" spans="1:11" ht="12.6" customHeight="1" x14ac:dyDescent="0.2">
      <c r="A17" s="126" t="s">
        <v>20</v>
      </c>
      <c r="B17" s="99">
        <v>6712</v>
      </c>
      <c r="C17" s="99">
        <f t="shared" si="2"/>
        <v>1256</v>
      </c>
      <c r="D17" s="99">
        <v>604</v>
      </c>
      <c r="E17" s="99">
        <v>475</v>
      </c>
      <c r="F17" s="99">
        <v>140</v>
      </c>
      <c r="G17" s="99">
        <v>37</v>
      </c>
      <c r="H17" s="100">
        <v>1.7</v>
      </c>
      <c r="I17" s="99">
        <f t="shared" si="3"/>
        <v>1028</v>
      </c>
      <c r="J17" s="99">
        <v>228</v>
      </c>
      <c r="K17" s="101">
        <f t="shared" si="0"/>
        <v>18.152866242038215</v>
      </c>
    </row>
    <row r="18" spans="1:11" ht="12.6" customHeight="1" x14ac:dyDescent="0.2">
      <c r="A18" s="126" t="s">
        <v>21</v>
      </c>
      <c r="B18" s="99">
        <v>8814</v>
      </c>
      <c r="C18" s="99">
        <f t="shared" si="2"/>
        <v>1629</v>
      </c>
      <c r="D18" s="99">
        <v>774</v>
      </c>
      <c r="E18" s="99">
        <v>666</v>
      </c>
      <c r="F18" s="99">
        <v>140</v>
      </c>
      <c r="G18" s="99">
        <v>49</v>
      </c>
      <c r="H18" s="100">
        <v>1.68</v>
      </c>
      <c r="I18" s="99">
        <f t="shared" si="3"/>
        <v>1328</v>
      </c>
      <c r="J18" s="99">
        <v>301</v>
      </c>
      <c r="K18" s="101">
        <f t="shared" si="0"/>
        <v>18.477593615715161</v>
      </c>
    </row>
    <row r="19" spans="1:11" ht="12.6" customHeight="1" x14ac:dyDescent="0.2">
      <c r="A19" s="126" t="s">
        <v>22</v>
      </c>
      <c r="B19" s="99">
        <v>15694</v>
      </c>
      <c r="C19" s="99">
        <f t="shared" si="2"/>
        <v>2946</v>
      </c>
      <c r="D19" s="99">
        <v>1440</v>
      </c>
      <c r="E19" s="99">
        <v>1130</v>
      </c>
      <c r="F19" s="99">
        <v>296</v>
      </c>
      <c r="G19" s="99">
        <v>80</v>
      </c>
      <c r="H19" s="100">
        <v>1.68</v>
      </c>
      <c r="I19" s="99">
        <f t="shared" si="3"/>
        <v>2388</v>
      </c>
      <c r="J19" s="99">
        <v>558</v>
      </c>
      <c r="K19" s="101">
        <f t="shared" si="0"/>
        <v>18.94093686354379</v>
      </c>
    </row>
    <row r="20" spans="1:11" ht="12.6" customHeight="1" x14ac:dyDescent="0.2">
      <c r="A20" s="126" t="s">
        <v>23</v>
      </c>
      <c r="B20" s="99">
        <v>5237</v>
      </c>
      <c r="C20" s="99">
        <f t="shared" si="2"/>
        <v>995</v>
      </c>
      <c r="D20" s="99">
        <v>447</v>
      </c>
      <c r="E20" s="99">
        <v>402</v>
      </c>
      <c r="F20" s="99">
        <v>116</v>
      </c>
      <c r="G20" s="99">
        <v>30</v>
      </c>
      <c r="H20" s="100">
        <v>1.74</v>
      </c>
      <c r="I20" s="99">
        <f t="shared" si="3"/>
        <v>810</v>
      </c>
      <c r="J20" s="99">
        <v>185</v>
      </c>
      <c r="K20" s="101">
        <f t="shared" si="0"/>
        <v>18.592964824120603</v>
      </c>
    </row>
    <row r="21" spans="1:11" ht="12.6" customHeight="1" x14ac:dyDescent="0.2">
      <c r="A21" s="126" t="s">
        <v>24</v>
      </c>
      <c r="B21" s="99">
        <v>16901</v>
      </c>
      <c r="C21" s="99">
        <f t="shared" si="2"/>
        <v>3155</v>
      </c>
      <c r="D21" s="99">
        <v>1528</v>
      </c>
      <c r="E21" s="99">
        <v>1221</v>
      </c>
      <c r="F21" s="99">
        <v>330</v>
      </c>
      <c r="G21" s="99">
        <v>76</v>
      </c>
      <c r="H21" s="100">
        <v>1.68</v>
      </c>
      <c r="I21" s="99">
        <f t="shared" si="3"/>
        <v>2619</v>
      </c>
      <c r="J21" s="99">
        <v>536</v>
      </c>
      <c r="K21" s="101">
        <f t="shared" si="0"/>
        <v>16.988906497622821</v>
      </c>
    </row>
    <row r="22" spans="1:11" ht="12.6" customHeight="1" x14ac:dyDescent="0.2">
      <c r="A22" s="126" t="s">
        <v>25</v>
      </c>
      <c r="B22" s="99">
        <v>12128</v>
      </c>
      <c r="C22" s="99">
        <f t="shared" si="2"/>
        <v>2447</v>
      </c>
      <c r="D22" s="99">
        <v>1205</v>
      </c>
      <c r="E22" s="99">
        <v>910</v>
      </c>
      <c r="F22" s="99">
        <v>269</v>
      </c>
      <c r="G22" s="99">
        <v>63</v>
      </c>
      <c r="H22" s="100">
        <v>1.68</v>
      </c>
      <c r="I22" s="99">
        <f t="shared" si="3"/>
        <v>1888</v>
      </c>
      <c r="J22" s="99">
        <v>559</v>
      </c>
      <c r="K22" s="101">
        <f t="shared" si="0"/>
        <v>22.844299141806292</v>
      </c>
    </row>
    <row r="23" spans="1:11" ht="12.6" customHeight="1" x14ac:dyDescent="0.2">
      <c r="A23" s="126" t="s">
        <v>26</v>
      </c>
      <c r="B23" s="99">
        <v>3537</v>
      </c>
      <c r="C23" s="99">
        <f t="shared" si="2"/>
        <v>601</v>
      </c>
      <c r="D23" s="99">
        <v>290</v>
      </c>
      <c r="E23" s="99">
        <v>227</v>
      </c>
      <c r="F23" s="99">
        <v>63</v>
      </c>
      <c r="G23" s="99">
        <v>21</v>
      </c>
      <c r="H23" s="100">
        <v>1.72</v>
      </c>
      <c r="I23" s="99">
        <f t="shared" si="3"/>
        <v>476</v>
      </c>
      <c r="J23" s="99">
        <v>125</v>
      </c>
      <c r="K23" s="101">
        <f t="shared" si="0"/>
        <v>20.798668885191347</v>
      </c>
    </row>
    <row r="24" spans="1:11" ht="12.6" customHeight="1" x14ac:dyDescent="0.2">
      <c r="A24" s="126" t="s">
        <v>27</v>
      </c>
      <c r="B24" s="99">
        <v>4389</v>
      </c>
      <c r="C24" s="99">
        <f t="shared" si="2"/>
        <v>871</v>
      </c>
      <c r="D24" s="99">
        <v>415</v>
      </c>
      <c r="E24" s="99">
        <v>321</v>
      </c>
      <c r="F24" s="99">
        <v>105</v>
      </c>
      <c r="G24" s="99">
        <v>30</v>
      </c>
      <c r="H24" s="100">
        <v>1.72</v>
      </c>
      <c r="I24" s="99">
        <f t="shared" si="3"/>
        <v>690</v>
      </c>
      <c r="J24" s="99">
        <v>181</v>
      </c>
      <c r="K24" s="101">
        <f t="shared" si="0"/>
        <v>20.780711825487945</v>
      </c>
    </row>
    <row r="25" spans="1:11" ht="12.6" customHeight="1" x14ac:dyDescent="0.2">
      <c r="A25" s="126" t="s">
        <v>28</v>
      </c>
      <c r="B25" s="99">
        <v>7323</v>
      </c>
      <c r="C25" s="99">
        <f t="shared" si="2"/>
        <v>1158</v>
      </c>
      <c r="D25" s="99">
        <v>540</v>
      </c>
      <c r="E25" s="99">
        <v>470</v>
      </c>
      <c r="F25" s="99">
        <v>121</v>
      </c>
      <c r="G25" s="99">
        <v>27</v>
      </c>
      <c r="H25" s="100">
        <v>1.69</v>
      </c>
      <c r="I25" s="99">
        <f t="shared" si="3"/>
        <v>948</v>
      </c>
      <c r="J25" s="99">
        <v>210</v>
      </c>
      <c r="K25" s="101">
        <f t="shared" si="0"/>
        <v>18.134715025906736</v>
      </c>
    </row>
    <row r="26" spans="1:11" ht="12.6" customHeight="1" x14ac:dyDescent="0.2">
      <c r="A26" s="126" t="s">
        <v>29</v>
      </c>
      <c r="B26" s="99">
        <v>12303</v>
      </c>
      <c r="C26" s="99">
        <f t="shared" si="2"/>
        <v>2344</v>
      </c>
      <c r="D26" s="99">
        <v>1079</v>
      </c>
      <c r="E26" s="99">
        <v>963</v>
      </c>
      <c r="F26" s="99">
        <v>253</v>
      </c>
      <c r="G26" s="99">
        <v>49</v>
      </c>
      <c r="H26" s="100">
        <v>1.69</v>
      </c>
      <c r="I26" s="99">
        <f t="shared" si="3"/>
        <v>1884</v>
      </c>
      <c r="J26" s="99">
        <v>460</v>
      </c>
      <c r="K26" s="101">
        <f t="shared" si="0"/>
        <v>19.624573378839592</v>
      </c>
    </row>
    <row r="27" spans="1:11" ht="12.6" customHeight="1" x14ac:dyDescent="0.2">
      <c r="A27" s="126" t="s">
        <v>30</v>
      </c>
      <c r="B27" s="99">
        <v>6242</v>
      </c>
      <c r="C27" s="99">
        <f t="shared" si="2"/>
        <v>1187</v>
      </c>
      <c r="D27" s="99">
        <v>630</v>
      </c>
      <c r="E27" s="99">
        <v>419</v>
      </c>
      <c r="F27" s="99">
        <v>118</v>
      </c>
      <c r="G27" s="99">
        <v>20</v>
      </c>
      <c r="H27" s="100">
        <v>1.61</v>
      </c>
      <c r="I27" s="99">
        <f t="shared" si="3"/>
        <v>938</v>
      </c>
      <c r="J27" s="99">
        <v>249</v>
      </c>
      <c r="K27" s="101">
        <f t="shared" si="0"/>
        <v>20.977253580454928</v>
      </c>
    </row>
    <row r="28" spans="1:11" ht="12.6" customHeight="1" x14ac:dyDescent="0.2">
      <c r="A28" s="126" t="s">
        <v>31</v>
      </c>
      <c r="B28" s="99">
        <v>8580</v>
      </c>
      <c r="C28" s="99">
        <f t="shared" si="2"/>
        <v>1633</v>
      </c>
      <c r="D28" s="99">
        <v>823</v>
      </c>
      <c r="E28" s="99">
        <v>616</v>
      </c>
      <c r="F28" s="99">
        <v>152</v>
      </c>
      <c r="G28" s="99">
        <v>42</v>
      </c>
      <c r="H28" s="100">
        <v>1.64</v>
      </c>
      <c r="I28" s="99">
        <f t="shared" si="3"/>
        <v>1277</v>
      </c>
      <c r="J28" s="99">
        <v>356</v>
      </c>
      <c r="K28" s="101">
        <f t="shared" si="0"/>
        <v>21.800367421922843</v>
      </c>
    </row>
    <row r="29" spans="1:11" ht="12.6" customHeight="1" x14ac:dyDescent="0.2">
      <c r="A29" s="126" t="s">
        <v>32</v>
      </c>
      <c r="B29" s="99">
        <v>24370</v>
      </c>
      <c r="C29" s="99">
        <f t="shared" si="2"/>
        <v>4264</v>
      </c>
      <c r="D29" s="99">
        <v>2010</v>
      </c>
      <c r="E29" s="99">
        <v>1726</v>
      </c>
      <c r="F29" s="99">
        <v>451</v>
      </c>
      <c r="G29" s="99">
        <v>77</v>
      </c>
      <c r="H29" s="100">
        <v>1.68</v>
      </c>
      <c r="I29" s="99">
        <f t="shared" si="3"/>
        <v>3511</v>
      </c>
      <c r="J29" s="99">
        <v>753</v>
      </c>
      <c r="K29" s="101">
        <f t="shared" si="0"/>
        <v>17.659474671669795</v>
      </c>
    </row>
    <row r="30" spans="1:11" ht="12.6" customHeight="1" x14ac:dyDescent="0.2">
      <c r="A30" s="126" t="s">
        <v>33</v>
      </c>
      <c r="B30" s="99">
        <v>4765</v>
      </c>
      <c r="C30" s="99">
        <f t="shared" si="2"/>
        <v>926</v>
      </c>
      <c r="D30" s="99">
        <v>462</v>
      </c>
      <c r="E30" s="99">
        <v>331</v>
      </c>
      <c r="F30" s="99">
        <v>112</v>
      </c>
      <c r="G30" s="99">
        <v>21</v>
      </c>
      <c r="H30" s="100">
        <v>1.67</v>
      </c>
      <c r="I30" s="99">
        <f t="shared" si="3"/>
        <v>720</v>
      </c>
      <c r="J30" s="99">
        <v>206</v>
      </c>
      <c r="K30" s="101">
        <f t="shared" si="0"/>
        <v>22.246220302375811</v>
      </c>
    </row>
    <row r="31" spans="1:11" ht="12.6" customHeight="1" x14ac:dyDescent="0.2">
      <c r="A31" s="126" t="s">
        <v>34</v>
      </c>
      <c r="B31" s="99">
        <v>15052</v>
      </c>
      <c r="C31" s="99">
        <f t="shared" si="2"/>
        <v>3446</v>
      </c>
      <c r="D31" s="99">
        <v>1620</v>
      </c>
      <c r="E31" s="99">
        <v>1388</v>
      </c>
      <c r="F31" s="99">
        <v>359</v>
      </c>
      <c r="G31" s="99">
        <v>79</v>
      </c>
      <c r="H31" s="100">
        <v>1.69</v>
      </c>
      <c r="I31" s="99">
        <f t="shared" si="3"/>
        <v>2759</v>
      </c>
      <c r="J31" s="99">
        <v>687</v>
      </c>
      <c r="K31" s="101">
        <f t="shared" si="0"/>
        <v>19.936157864190367</v>
      </c>
    </row>
    <row r="32" spans="1:11" ht="12.6" customHeight="1" x14ac:dyDescent="0.2">
      <c r="A32" s="126" t="s">
        <v>35</v>
      </c>
      <c r="B32" s="99">
        <v>18736</v>
      </c>
      <c r="C32" s="99">
        <f t="shared" si="2"/>
        <v>4000</v>
      </c>
      <c r="D32" s="99">
        <v>1886</v>
      </c>
      <c r="E32" s="99">
        <v>1508</v>
      </c>
      <c r="F32" s="99">
        <v>479</v>
      </c>
      <c r="G32" s="99">
        <v>127</v>
      </c>
      <c r="H32" s="100">
        <v>1.72</v>
      </c>
      <c r="I32" s="99">
        <f t="shared" si="3"/>
        <v>3191</v>
      </c>
      <c r="J32" s="99">
        <v>809</v>
      </c>
      <c r="K32" s="101">
        <f t="shared" si="0"/>
        <v>20.225000000000001</v>
      </c>
    </row>
    <row r="33" spans="1:11" ht="17.100000000000001" customHeight="1" x14ac:dyDescent="0.2">
      <c r="A33" s="128" t="s">
        <v>36</v>
      </c>
      <c r="B33" s="99">
        <f t="shared" ref="B33:G33" si="4">SUM(B15:B32)</f>
        <v>211345</v>
      </c>
      <c r="C33" s="99">
        <f t="shared" si="4"/>
        <v>40637</v>
      </c>
      <c r="D33" s="99">
        <f t="shared" si="4"/>
        <v>19614</v>
      </c>
      <c r="E33" s="99">
        <f t="shared" si="4"/>
        <v>15608</v>
      </c>
      <c r="F33" s="99">
        <f t="shared" si="4"/>
        <v>4382</v>
      </c>
      <c r="G33" s="99">
        <f t="shared" si="4"/>
        <v>1033</v>
      </c>
      <c r="H33" s="100">
        <v>1.68</v>
      </c>
      <c r="I33" s="99">
        <f>SUM(I15:I32)</f>
        <v>32484</v>
      </c>
      <c r="J33" s="99">
        <f>SUM(J15:J32)</f>
        <v>8153</v>
      </c>
      <c r="K33" s="101">
        <f>+J33/C33*100</f>
        <v>20.062996776336835</v>
      </c>
    </row>
    <row r="34" spans="1:11" ht="17.100000000000001" customHeight="1" x14ac:dyDescent="0.2">
      <c r="A34" s="128" t="s">
        <v>37</v>
      </c>
      <c r="B34" s="109">
        <f>B14+B33</f>
        <v>325997</v>
      </c>
      <c r="C34" s="139">
        <f>SUM(D34:G34)</f>
        <v>57062</v>
      </c>
      <c r="D34" s="109">
        <f>D14+D33</f>
        <v>28572</v>
      </c>
      <c r="E34" s="109">
        <f>E14+E33</f>
        <v>21355</v>
      </c>
      <c r="F34" s="109">
        <f>F14+F33</f>
        <v>5772</v>
      </c>
      <c r="G34" s="109">
        <f>G14+G33</f>
        <v>1363</v>
      </c>
      <c r="H34" s="137">
        <v>1.66</v>
      </c>
      <c r="I34" s="109">
        <f>I14+I33</f>
        <v>45134</v>
      </c>
      <c r="J34" s="109">
        <f>J14+J33</f>
        <v>11928</v>
      </c>
      <c r="K34" s="138">
        <f>+J34/C34*100</f>
        <v>20.90357856366759</v>
      </c>
    </row>
  </sheetData>
  <mergeCells count="8">
    <mergeCell ref="A5:A7"/>
    <mergeCell ref="B5:B7"/>
    <mergeCell ref="C5:K5"/>
    <mergeCell ref="C6:C7"/>
    <mergeCell ref="D6:G6"/>
    <mergeCell ref="H6:H7"/>
    <mergeCell ref="I6:I7"/>
    <mergeCell ref="J6:K6"/>
  </mergeCells>
  <pageMargins left="0.59055118110236227" right="0.59055118110236227" top="0.59055118110236227" bottom="0.59055118110236227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6"/>
  <sheetViews>
    <sheetView workbookViewId="0">
      <selection activeCell="D1" sqref="D1"/>
    </sheetView>
  </sheetViews>
  <sheetFormatPr baseColWidth="10" defaultColWidth="9.83203125" defaultRowHeight="12.75" customHeight="1" x14ac:dyDescent="0.2"/>
  <cols>
    <col min="1" max="1" width="21.1640625" style="117" customWidth="1"/>
    <col min="2" max="2" width="10.5" style="117" customWidth="1"/>
    <col min="3" max="3" width="9.6640625" style="117" customWidth="1"/>
    <col min="4" max="4" width="9.1640625" style="117" customWidth="1"/>
    <col min="5" max="7" width="9" style="117" customWidth="1"/>
    <col min="8" max="8" width="10.6640625" style="117" customWidth="1"/>
    <col min="9" max="10" width="9" style="117" customWidth="1"/>
    <col min="11" max="11" width="11.5" style="117" bestFit="1" customWidth="1"/>
    <col min="12" max="16384" width="9.83203125" style="117"/>
  </cols>
  <sheetData>
    <row r="1" spans="1:11" ht="12.75" customHeight="1" x14ac:dyDescent="0.2">
      <c r="A1" s="49" t="s">
        <v>77</v>
      </c>
      <c r="B1" s="49"/>
      <c r="C1" s="49"/>
      <c r="D1" s="49"/>
      <c r="E1" s="49"/>
      <c r="F1" s="49"/>
      <c r="G1" s="49"/>
      <c r="H1" s="87"/>
      <c r="I1" s="87"/>
      <c r="J1" s="87"/>
      <c r="K1" s="87"/>
    </row>
    <row r="3" spans="1:11" ht="26.25" customHeight="1" x14ac:dyDescent="0.2">
      <c r="A3" s="135" t="s">
        <v>99</v>
      </c>
      <c r="B3" s="119"/>
      <c r="C3" s="119"/>
      <c r="D3" s="119"/>
      <c r="E3" s="119"/>
      <c r="F3" s="119"/>
      <c r="G3" s="119"/>
      <c r="H3" s="119"/>
      <c r="I3" s="119"/>
      <c r="J3" s="119"/>
      <c r="K3" s="119"/>
    </row>
    <row r="4" spans="1:11" ht="12.6" customHeight="1" x14ac:dyDescent="0.2">
      <c r="A4" s="121"/>
      <c r="B4" s="122"/>
      <c r="C4" s="122"/>
      <c r="D4" s="122"/>
      <c r="E4" s="122"/>
      <c r="F4" s="122"/>
      <c r="G4" s="122"/>
      <c r="H4" s="122"/>
      <c r="I4" s="122"/>
      <c r="J4" s="122"/>
      <c r="K4" s="122"/>
    </row>
    <row r="5" spans="1:11" ht="12.6" customHeight="1" thickBot="1" x14ac:dyDescent="0.25">
      <c r="A5" s="154" t="s">
        <v>2</v>
      </c>
      <c r="B5" s="156" t="s">
        <v>92</v>
      </c>
      <c r="C5" s="158" t="s">
        <v>74</v>
      </c>
      <c r="D5" s="158"/>
      <c r="E5" s="158"/>
      <c r="F5" s="158"/>
      <c r="G5" s="158"/>
      <c r="H5" s="158"/>
      <c r="I5" s="158"/>
      <c r="J5" s="158"/>
      <c r="K5" s="159"/>
    </row>
    <row r="6" spans="1:11" ht="12.6" customHeight="1" thickBot="1" x14ac:dyDescent="0.25">
      <c r="A6" s="155"/>
      <c r="B6" s="157"/>
      <c r="C6" s="160" t="s">
        <v>3</v>
      </c>
      <c r="D6" s="160" t="s">
        <v>4</v>
      </c>
      <c r="E6" s="160"/>
      <c r="F6" s="160"/>
      <c r="G6" s="160"/>
      <c r="H6" s="157" t="s">
        <v>75</v>
      </c>
      <c r="I6" s="160" t="s">
        <v>6</v>
      </c>
      <c r="J6" s="161" t="s">
        <v>7</v>
      </c>
      <c r="K6" s="162"/>
    </row>
    <row r="7" spans="1:11" ht="12.6" customHeight="1" thickBot="1" x14ac:dyDescent="0.25">
      <c r="A7" s="155"/>
      <c r="B7" s="157"/>
      <c r="C7" s="160"/>
      <c r="D7" s="123">
        <v>1</v>
      </c>
      <c r="E7" s="123">
        <v>2</v>
      </c>
      <c r="F7" s="123">
        <v>3</v>
      </c>
      <c r="G7" s="123" t="s">
        <v>8</v>
      </c>
      <c r="H7" s="157"/>
      <c r="I7" s="160"/>
      <c r="J7" s="123" t="s">
        <v>10</v>
      </c>
      <c r="K7" s="124" t="s">
        <v>11</v>
      </c>
    </row>
    <row r="8" spans="1:11" ht="12.6" customHeight="1" x14ac:dyDescent="0.2">
      <c r="A8" s="125"/>
      <c r="B8" s="122"/>
      <c r="C8" s="122"/>
      <c r="D8" s="122"/>
      <c r="E8" s="122"/>
      <c r="F8" s="122"/>
      <c r="G8" s="122"/>
      <c r="H8" s="122"/>
      <c r="I8" s="122"/>
      <c r="J8" s="122"/>
      <c r="K8" s="122"/>
    </row>
    <row r="9" spans="1:11" ht="12.6" customHeight="1" x14ac:dyDescent="0.2">
      <c r="A9" s="126" t="s">
        <v>12</v>
      </c>
      <c r="B9" s="99">
        <v>15151</v>
      </c>
      <c r="C9" s="99">
        <f>SUM(D9:G9)</f>
        <v>1472</v>
      </c>
      <c r="D9" s="99">
        <v>844</v>
      </c>
      <c r="E9" s="99">
        <v>471</v>
      </c>
      <c r="F9" s="99">
        <v>111</v>
      </c>
      <c r="G9" s="99">
        <v>46</v>
      </c>
      <c r="H9" s="100">
        <v>1.58</v>
      </c>
      <c r="I9" s="99">
        <f>C9-J9</f>
        <v>1142</v>
      </c>
      <c r="J9" s="99">
        <v>330</v>
      </c>
      <c r="K9" s="101">
        <f t="shared" ref="K9:K32" si="0">+J9/C9*100</f>
        <v>22.418478260869566</v>
      </c>
    </row>
    <row r="10" spans="1:11" ht="12.6" customHeight="1" x14ac:dyDescent="0.2">
      <c r="A10" s="126" t="s">
        <v>13</v>
      </c>
      <c r="B10" s="99">
        <v>14774</v>
      </c>
      <c r="C10" s="99">
        <f>SUM(D10:G10)</f>
        <v>2664</v>
      </c>
      <c r="D10" s="99">
        <v>1384</v>
      </c>
      <c r="E10" s="99">
        <v>897</v>
      </c>
      <c r="F10" s="99">
        <v>299</v>
      </c>
      <c r="G10" s="99">
        <v>84</v>
      </c>
      <c r="H10" s="100">
        <v>1.67</v>
      </c>
      <c r="I10" s="99">
        <f>C10-J10</f>
        <v>2063</v>
      </c>
      <c r="J10" s="99">
        <v>601</v>
      </c>
      <c r="K10" s="101">
        <f t="shared" si="0"/>
        <v>22.56006006006006</v>
      </c>
    </row>
    <row r="11" spans="1:11" ht="12.6" customHeight="1" x14ac:dyDescent="0.2">
      <c r="A11" s="126" t="s">
        <v>14</v>
      </c>
      <c r="B11" s="99">
        <v>27380</v>
      </c>
      <c r="C11" s="99">
        <f>SUM(D11:G11)</f>
        <v>4235</v>
      </c>
      <c r="D11" s="99">
        <v>2333</v>
      </c>
      <c r="E11" s="99">
        <v>1431</v>
      </c>
      <c r="F11" s="99">
        <v>378</v>
      </c>
      <c r="G11" s="99">
        <v>93</v>
      </c>
      <c r="H11" s="100">
        <v>1.59</v>
      </c>
      <c r="I11" s="99">
        <f>C11-J11</f>
        <v>3159</v>
      </c>
      <c r="J11" s="99">
        <v>1076</v>
      </c>
      <c r="K11" s="101">
        <f t="shared" si="0"/>
        <v>25.4073199527745</v>
      </c>
    </row>
    <row r="12" spans="1:11" ht="12.6" customHeight="1" x14ac:dyDescent="0.2">
      <c r="A12" s="126" t="s">
        <v>15</v>
      </c>
      <c r="B12" s="99">
        <v>26054</v>
      </c>
      <c r="C12" s="99">
        <f>SUM(D12:G12)</f>
        <v>3804</v>
      </c>
      <c r="D12" s="99">
        <v>2097</v>
      </c>
      <c r="E12" s="99">
        <v>1341</v>
      </c>
      <c r="F12" s="99">
        <v>308</v>
      </c>
      <c r="G12" s="99">
        <v>58</v>
      </c>
      <c r="H12" s="100">
        <v>1.56</v>
      </c>
      <c r="I12" s="99">
        <f>C12-J12</f>
        <v>2998</v>
      </c>
      <c r="J12" s="99">
        <v>806</v>
      </c>
      <c r="K12" s="101">
        <f t="shared" si="0"/>
        <v>21.188222923238694</v>
      </c>
    </row>
    <row r="13" spans="1:11" ht="12.6" customHeight="1" x14ac:dyDescent="0.2">
      <c r="A13" s="126" t="s">
        <v>16</v>
      </c>
      <c r="B13" s="99">
        <v>30993</v>
      </c>
      <c r="C13" s="99">
        <f>SUM(D13:G13)</f>
        <v>4145</v>
      </c>
      <c r="D13" s="99">
        <v>2297</v>
      </c>
      <c r="E13" s="99">
        <v>1460</v>
      </c>
      <c r="F13" s="99">
        <v>329</v>
      </c>
      <c r="G13" s="99">
        <v>59</v>
      </c>
      <c r="H13" s="100">
        <v>1.56</v>
      </c>
      <c r="I13" s="99">
        <f>C13-J13</f>
        <v>3214</v>
      </c>
      <c r="J13" s="99">
        <v>931</v>
      </c>
      <c r="K13" s="101">
        <f t="shared" si="0"/>
        <v>22.460796139927623</v>
      </c>
    </row>
    <row r="14" spans="1:11" ht="17.100000000000001" customHeight="1" x14ac:dyDescent="0.2">
      <c r="A14" s="128" t="s">
        <v>17</v>
      </c>
      <c r="B14" s="99">
        <f t="shared" ref="B14:G14" si="1">SUM(B9:B13)</f>
        <v>114352</v>
      </c>
      <c r="C14" s="99">
        <f t="shared" si="1"/>
        <v>16320</v>
      </c>
      <c r="D14" s="99">
        <f t="shared" si="1"/>
        <v>8955</v>
      </c>
      <c r="E14" s="99">
        <f t="shared" si="1"/>
        <v>5600</v>
      </c>
      <c r="F14" s="99">
        <f t="shared" si="1"/>
        <v>1425</v>
      </c>
      <c r="G14" s="99">
        <f t="shared" si="1"/>
        <v>340</v>
      </c>
      <c r="H14" s="100">
        <v>1.59</v>
      </c>
      <c r="I14" s="99">
        <f>SUM(I9:I13)</f>
        <v>12576</v>
      </c>
      <c r="J14" s="99">
        <f>SUM(J9:J13)</f>
        <v>3744</v>
      </c>
      <c r="K14" s="101">
        <f t="shared" si="0"/>
        <v>22.941176470588236</v>
      </c>
    </row>
    <row r="15" spans="1:11" ht="12.6" customHeight="1" x14ac:dyDescent="0.2">
      <c r="A15" s="126" t="s">
        <v>18</v>
      </c>
      <c r="B15" s="99">
        <v>36685</v>
      </c>
      <c r="C15" s="99">
        <f t="shared" ref="C15:C32" si="2">SUM(D15:G15)</f>
        <v>7129</v>
      </c>
      <c r="D15" s="99">
        <v>3591</v>
      </c>
      <c r="E15" s="99">
        <v>2574</v>
      </c>
      <c r="F15" s="99">
        <v>769</v>
      </c>
      <c r="G15" s="99">
        <v>195</v>
      </c>
      <c r="H15" s="100">
        <v>1.67</v>
      </c>
      <c r="I15" s="99">
        <f>C15-J15</f>
        <v>5535</v>
      </c>
      <c r="J15" s="99">
        <v>1594</v>
      </c>
      <c r="K15" s="101">
        <f t="shared" si="0"/>
        <v>22.359377191751999</v>
      </c>
    </row>
    <row r="16" spans="1:11" ht="12.6" customHeight="1" x14ac:dyDescent="0.2">
      <c r="A16" s="126" t="s">
        <v>19</v>
      </c>
      <c r="B16" s="99">
        <v>3509</v>
      </c>
      <c r="C16" s="99">
        <f t="shared" si="2"/>
        <v>629</v>
      </c>
      <c r="D16" s="99">
        <v>280</v>
      </c>
      <c r="E16" s="99">
        <v>263</v>
      </c>
      <c r="F16" s="99">
        <v>72</v>
      </c>
      <c r="G16" s="99">
        <v>14</v>
      </c>
      <c r="H16" s="100">
        <v>1.72</v>
      </c>
      <c r="I16" s="99">
        <f t="shared" ref="I16:I32" si="3">C16-J16</f>
        <v>502</v>
      </c>
      <c r="J16" s="99">
        <v>127</v>
      </c>
      <c r="K16" s="101">
        <f t="shared" si="0"/>
        <v>20.190779014308426</v>
      </c>
    </row>
    <row r="17" spans="1:11" ht="12.6" customHeight="1" x14ac:dyDescent="0.2">
      <c r="A17" s="126" t="s">
        <v>20</v>
      </c>
      <c r="B17" s="99">
        <v>6708</v>
      </c>
      <c r="C17" s="99">
        <f t="shared" si="2"/>
        <v>1252</v>
      </c>
      <c r="D17" s="99">
        <v>577</v>
      </c>
      <c r="E17" s="99">
        <v>512</v>
      </c>
      <c r="F17" s="99">
        <v>121</v>
      </c>
      <c r="G17" s="99">
        <v>42</v>
      </c>
      <c r="H17" s="100">
        <v>1.71</v>
      </c>
      <c r="I17" s="99">
        <f t="shared" si="3"/>
        <v>1018</v>
      </c>
      <c r="J17" s="99">
        <v>234</v>
      </c>
      <c r="K17" s="101">
        <f t="shared" si="0"/>
        <v>18.69009584664537</v>
      </c>
    </row>
    <row r="18" spans="1:11" ht="12.6" customHeight="1" x14ac:dyDescent="0.2">
      <c r="A18" s="126" t="s">
        <v>21</v>
      </c>
      <c r="B18" s="99">
        <v>8815</v>
      </c>
      <c r="C18" s="99">
        <f t="shared" si="2"/>
        <v>1638</v>
      </c>
      <c r="D18" s="99">
        <v>786</v>
      </c>
      <c r="E18" s="99">
        <v>649</v>
      </c>
      <c r="F18" s="99">
        <v>161</v>
      </c>
      <c r="G18" s="99">
        <v>42</v>
      </c>
      <c r="H18" s="100">
        <v>1.68</v>
      </c>
      <c r="I18" s="99">
        <f t="shared" si="3"/>
        <v>1369</v>
      </c>
      <c r="J18" s="99">
        <v>269</v>
      </c>
      <c r="K18" s="101">
        <f t="shared" si="0"/>
        <v>16.422466422466421</v>
      </c>
    </row>
    <row r="19" spans="1:11" ht="12.6" customHeight="1" x14ac:dyDescent="0.2">
      <c r="A19" s="126" t="s">
        <v>22</v>
      </c>
      <c r="B19" s="99">
        <v>15634</v>
      </c>
      <c r="C19" s="99">
        <f t="shared" si="2"/>
        <v>2907</v>
      </c>
      <c r="D19" s="99">
        <v>1428</v>
      </c>
      <c r="E19" s="99">
        <v>1100</v>
      </c>
      <c r="F19" s="99">
        <v>301</v>
      </c>
      <c r="G19" s="99">
        <v>78</v>
      </c>
      <c r="H19" s="100">
        <v>1.68</v>
      </c>
      <c r="I19" s="99">
        <f t="shared" si="3"/>
        <v>2350</v>
      </c>
      <c r="J19" s="99">
        <v>557</v>
      </c>
      <c r="K19" s="101">
        <f t="shared" si="0"/>
        <v>19.160646714826282</v>
      </c>
    </row>
    <row r="20" spans="1:11" ht="12.6" customHeight="1" x14ac:dyDescent="0.2">
      <c r="A20" s="126" t="s">
        <v>23</v>
      </c>
      <c r="B20" s="99">
        <v>5086</v>
      </c>
      <c r="C20" s="99">
        <f t="shared" si="2"/>
        <v>987</v>
      </c>
      <c r="D20" s="99">
        <v>448</v>
      </c>
      <c r="E20" s="99">
        <v>403</v>
      </c>
      <c r="F20" s="99">
        <v>107</v>
      </c>
      <c r="G20" s="99">
        <v>29</v>
      </c>
      <c r="H20" s="100">
        <v>1.72</v>
      </c>
      <c r="I20" s="99">
        <f t="shared" si="3"/>
        <v>796</v>
      </c>
      <c r="J20" s="99">
        <v>191</v>
      </c>
      <c r="K20" s="101">
        <f t="shared" si="0"/>
        <v>19.3515704154002</v>
      </c>
    </row>
    <row r="21" spans="1:11" ht="12.6" customHeight="1" x14ac:dyDescent="0.2">
      <c r="A21" s="126" t="s">
        <v>24</v>
      </c>
      <c r="B21" s="99">
        <v>16607</v>
      </c>
      <c r="C21" s="99">
        <f t="shared" si="2"/>
        <v>3125</v>
      </c>
      <c r="D21" s="99">
        <v>1567</v>
      </c>
      <c r="E21" s="99">
        <v>1175</v>
      </c>
      <c r="F21" s="99">
        <v>309</v>
      </c>
      <c r="G21" s="99">
        <v>74</v>
      </c>
      <c r="H21" s="100">
        <v>1.65</v>
      </c>
      <c r="I21" s="99">
        <f t="shared" si="3"/>
        <v>2592</v>
      </c>
      <c r="J21" s="99">
        <v>533</v>
      </c>
      <c r="K21" s="101">
        <f t="shared" si="0"/>
        <v>17.055999999999997</v>
      </c>
    </row>
    <row r="22" spans="1:11" ht="12.6" customHeight="1" x14ac:dyDescent="0.2">
      <c r="A22" s="126" t="s">
        <v>25</v>
      </c>
      <c r="B22" s="99">
        <v>12143</v>
      </c>
      <c r="C22" s="99">
        <f t="shared" si="2"/>
        <v>2470</v>
      </c>
      <c r="D22" s="99">
        <v>1231</v>
      </c>
      <c r="E22" s="99">
        <v>893</v>
      </c>
      <c r="F22" s="99">
        <v>278</v>
      </c>
      <c r="G22" s="99">
        <v>68</v>
      </c>
      <c r="H22" s="100">
        <v>1.68</v>
      </c>
      <c r="I22" s="99">
        <f t="shared" si="3"/>
        <v>1928</v>
      </c>
      <c r="J22" s="99">
        <v>542</v>
      </c>
      <c r="K22" s="101">
        <f t="shared" si="0"/>
        <v>21.943319838056681</v>
      </c>
    </row>
    <row r="23" spans="1:11" ht="12.6" customHeight="1" x14ac:dyDescent="0.2">
      <c r="A23" s="126" t="s">
        <v>26</v>
      </c>
      <c r="B23" s="99">
        <v>3421</v>
      </c>
      <c r="C23" s="99">
        <f t="shared" si="2"/>
        <v>555</v>
      </c>
      <c r="D23" s="99">
        <v>271</v>
      </c>
      <c r="E23" s="99">
        <v>212</v>
      </c>
      <c r="F23" s="99">
        <v>57</v>
      </c>
      <c r="G23" s="99">
        <v>15</v>
      </c>
      <c r="H23" s="100">
        <v>1.68</v>
      </c>
      <c r="I23" s="99">
        <f t="shared" si="3"/>
        <v>445</v>
      </c>
      <c r="J23" s="99">
        <v>110</v>
      </c>
      <c r="K23" s="101">
        <f t="shared" si="0"/>
        <v>19.81981981981982</v>
      </c>
    </row>
    <row r="24" spans="1:11" ht="12.6" customHeight="1" x14ac:dyDescent="0.2">
      <c r="A24" s="126" t="s">
        <v>27</v>
      </c>
      <c r="B24" s="99">
        <v>4282</v>
      </c>
      <c r="C24" s="99">
        <f t="shared" si="2"/>
        <v>853</v>
      </c>
      <c r="D24" s="99">
        <v>426</v>
      </c>
      <c r="E24" s="99">
        <v>306</v>
      </c>
      <c r="F24" s="99">
        <v>101</v>
      </c>
      <c r="G24" s="99">
        <v>20</v>
      </c>
      <c r="H24" s="100">
        <v>1.67</v>
      </c>
      <c r="I24" s="99">
        <f t="shared" si="3"/>
        <v>661</v>
      </c>
      <c r="J24" s="99">
        <v>192</v>
      </c>
      <c r="K24" s="101">
        <f t="shared" si="0"/>
        <v>22.50879249706917</v>
      </c>
    </row>
    <row r="25" spans="1:11" ht="12.6" customHeight="1" x14ac:dyDescent="0.2">
      <c r="A25" s="126" t="s">
        <v>28</v>
      </c>
      <c r="B25" s="99">
        <v>7289</v>
      </c>
      <c r="C25" s="99">
        <f t="shared" si="2"/>
        <v>1157</v>
      </c>
      <c r="D25" s="99">
        <v>552</v>
      </c>
      <c r="E25" s="99">
        <v>468</v>
      </c>
      <c r="F25" s="99">
        <v>109</v>
      </c>
      <c r="G25" s="99">
        <v>28</v>
      </c>
      <c r="H25" s="100">
        <v>1.67</v>
      </c>
      <c r="I25" s="99">
        <f t="shared" si="3"/>
        <v>953</v>
      </c>
      <c r="J25" s="99">
        <v>204</v>
      </c>
      <c r="K25" s="101">
        <f t="shared" si="0"/>
        <v>17.631806395851342</v>
      </c>
    </row>
    <row r="26" spans="1:11" ht="12.6" customHeight="1" x14ac:dyDescent="0.2">
      <c r="A26" s="126" t="s">
        <v>29</v>
      </c>
      <c r="B26" s="99">
        <v>12302</v>
      </c>
      <c r="C26" s="99">
        <f t="shared" si="2"/>
        <v>2368</v>
      </c>
      <c r="D26" s="99">
        <v>1119</v>
      </c>
      <c r="E26" s="99">
        <v>947</v>
      </c>
      <c r="F26" s="99">
        <v>252</v>
      </c>
      <c r="G26" s="99">
        <v>50</v>
      </c>
      <c r="H26" s="100">
        <v>1.68</v>
      </c>
      <c r="I26" s="99">
        <f t="shared" si="3"/>
        <v>1887</v>
      </c>
      <c r="J26" s="99">
        <v>481</v>
      </c>
      <c r="K26" s="101">
        <f t="shared" si="0"/>
        <v>20.3125</v>
      </c>
    </row>
    <row r="27" spans="1:11" ht="12.6" customHeight="1" x14ac:dyDescent="0.2">
      <c r="A27" s="126" t="s">
        <v>30</v>
      </c>
      <c r="B27" s="99">
        <v>6184</v>
      </c>
      <c r="C27" s="99">
        <f t="shared" si="2"/>
        <v>1182</v>
      </c>
      <c r="D27" s="99">
        <v>627</v>
      </c>
      <c r="E27" s="99">
        <v>413</v>
      </c>
      <c r="F27" s="99">
        <v>128</v>
      </c>
      <c r="G27" s="99">
        <v>14</v>
      </c>
      <c r="H27" s="100">
        <v>1.61</v>
      </c>
      <c r="I27" s="99">
        <f t="shared" si="3"/>
        <v>948</v>
      </c>
      <c r="J27" s="99">
        <v>234</v>
      </c>
      <c r="K27" s="101">
        <f t="shared" si="0"/>
        <v>19.796954314720814</v>
      </c>
    </row>
    <row r="28" spans="1:11" ht="12.6" customHeight="1" x14ac:dyDescent="0.2">
      <c r="A28" s="126" t="s">
        <v>31</v>
      </c>
      <c r="B28" s="99">
        <v>8574</v>
      </c>
      <c r="C28" s="99">
        <f t="shared" si="2"/>
        <v>1635</v>
      </c>
      <c r="D28" s="99">
        <v>834</v>
      </c>
      <c r="E28" s="99">
        <v>602</v>
      </c>
      <c r="F28" s="99">
        <v>158</v>
      </c>
      <c r="G28" s="99">
        <v>41</v>
      </c>
      <c r="H28" s="100">
        <v>1.64</v>
      </c>
      <c r="I28" s="99">
        <f t="shared" si="3"/>
        <v>1282</v>
      </c>
      <c r="J28" s="99">
        <v>353</v>
      </c>
      <c r="K28" s="101">
        <f t="shared" si="0"/>
        <v>21.590214067278289</v>
      </c>
    </row>
    <row r="29" spans="1:11" ht="12.6" customHeight="1" x14ac:dyDescent="0.2">
      <c r="A29" s="126" t="s">
        <v>32</v>
      </c>
      <c r="B29" s="99">
        <v>24498</v>
      </c>
      <c r="C29" s="99">
        <f t="shared" si="2"/>
        <v>4350</v>
      </c>
      <c r="D29" s="99">
        <v>2125</v>
      </c>
      <c r="E29" s="99">
        <v>1711</v>
      </c>
      <c r="F29" s="99">
        <v>433</v>
      </c>
      <c r="G29" s="99">
        <v>81</v>
      </c>
      <c r="H29" s="100">
        <v>1.65</v>
      </c>
      <c r="I29" s="99">
        <f t="shared" si="3"/>
        <v>3564</v>
      </c>
      <c r="J29" s="99">
        <v>786</v>
      </c>
      <c r="K29" s="101">
        <f t="shared" si="0"/>
        <v>18.068965517241377</v>
      </c>
    </row>
    <row r="30" spans="1:11" ht="12.6" customHeight="1" x14ac:dyDescent="0.2">
      <c r="A30" s="126" t="s">
        <v>33</v>
      </c>
      <c r="B30" s="99">
        <v>4802</v>
      </c>
      <c r="C30" s="99">
        <f t="shared" si="2"/>
        <v>948</v>
      </c>
      <c r="D30" s="99">
        <v>465</v>
      </c>
      <c r="E30" s="99">
        <v>341</v>
      </c>
      <c r="F30" s="99">
        <v>119</v>
      </c>
      <c r="G30" s="99">
        <v>23</v>
      </c>
      <c r="H30" s="100">
        <v>1.69</v>
      </c>
      <c r="I30" s="99">
        <f t="shared" si="3"/>
        <v>729</v>
      </c>
      <c r="J30" s="99">
        <v>219</v>
      </c>
      <c r="K30" s="101">
        <f t="shared" si="0"/>
        <v>23.101265822784811</v>
      </c>
    </row>
    <row r="31" spans="1:11" ht="12.6" customHeight="1" x14ac:dyDescent="0.2">
      <c r="A31" s="126" t="s">
        <v>34</v>
      </c>
      <c r="B31" s="99">
        <v>14882</v>
      </c>
      <c r="C31" s="99">
        <f t="shared" si="2"/>
        <v>3447</v>
      </c>
      <c r="D31" s="99">
        <v>1636</v>
      </c>
      <c r="E31" s="99">
        <v>1382</v>
      </c>
      <c r="F31" s="99">
        <v>343</v>
      </c>
      <c r="G31" s="99">
        <v>86</v>
      </c>
      <c r="H31" s="100">
        <v>1.68</v>
      </c>
      <c r="I31" s="99">
        <f t="shared" si="3"/>
        <v>2770</v>
      </c>
      <c r="J31" s="99">
        <v>677</v>
      </c>
      <c r="K31" s="101">
        <f t="shared" si="0"/>
        <v>19.64026689875254</v>
      </c>
    </row>
    <row r="32" spans="1:11" ht="12.6" customHeight="1" x14ac:dyDescent="0.2">
      <c r="A32" s="126" t="s">
        <v>35</v>
      </c>
      <c r="B32" s="99">
        <v>18597</v>
      </c>
      <c r="C32" s="99">
        <f t="shared" si="2"/>
        <v>3968</v>
      </c>
      <c r="D32" s="99">
        <v>1894</v>
      </c>
      <c r="E32" s="99">
        <v>1514</v>
      </c>
      <c r="F32" s="99">
        <v>444</v>
      </c>
      <c r="G32" s="99">
        <v>116</v>
      </c>
      <c r="H32" s="100">
        <v>1.7</v>
      </c>
      <c r="I32" s="99">
        <f t="shared" si="3"/>
        <v>3158</v>
      </c>
      <c r="J32" s="99">
        <v>810</v>
      </c>
      <c r="K32" s="101">
        <f t="shared" si="0"/>
        <v>20.413306451612904</v>
      </c>
    </row>
    <row r="33" spans="1:11" ht="17.100000000000001" customHeight="1" x14ac:dyDescent="0.2">
      <c r="A33" s="128" t="s">
        <v>36</v>
      </c>
      <c r="B33" s="99">
        <f t="shared" ref="B33:G33" si="4">SUM(B15:B32)</f>
        <v>210018</v>
      </c>
      <c r="C33" s="99">
        <f t="shared" si="4"/>
        <v>40600</v>
      </c>
      <c r="D33" s="99">
        <f t="shared" si="4"/>
        <v>19857</v>
      </c>
      <c r="E33" s="99">
        <f t="shared" si="4"/>
        <v>15465</v>
      </c>
      <c r="F33" s="99">
        <f t="shared" si="4"/>
        <v>4262</v>
      </c>
      <c r="G33" s="99">
        <f t="shared" si="4"/>
        <v>1016</v>
      </c>
      <c r="H33" s="100">
        <v>1.67</v>
      </c>
      <c r="I33" s="99">
        <f>SUM(I15:I32)</f>
        <v>32487</v>
      </c>
      <c r="J33" s="99">
        <f>SUM(J15:J32)</f>
        <v>8113</v>
      </c>
      <c r="K33" s="101">
        <f>+J33/C33*100</f>
        <v>19.982758620689655</v>
      </c>
    </row>
    <row r="34" spans="1:11" ht="17.100000000000001" customHeight="1" x14ac:dyDescent="0.2">
      <c r="A34" s="128" t="s">
        <v>37</v>
      </c>
      <c r="B34" s="109">
        <f>B14+B33</f>
        <v>324370</v>
      </c>
      <c r="C34" s="139">
        <f>SUM(D34:G34)</f>
        <v>56920</v>
      </c>
      <c r="D34" s="109">
        <f>D14+D33</f>
        <v>28812</v>
      </c>
      <c r="E34" s="109">
        <f>E14+E33</f>
        <v>21065</v>
      </c>
      <c r="F34" s="109">
        <f>F14+F33</f>
        <v>5687</v>
      </c>
      <c r="G34" s="109">
        <f>G14+G33</f>
        <v>1356</v>
      </c>
      <c r="H34" s="137">
        <v>1.65</v>
      </c>
      <c r="I34" s="109">
        <f>I14+I33</f>
        <v>45063</v>
      </c>
      <c r="J34" s="109">
        <f>J14+J33</f>
        <v>11857</v>
      </c>
      <c r="K34" s="138">
        <f>+J34/C34*100</f>
        <v>20.830990864371046</v>
      </c>
    </row>
    <row r="35" spans="1:11" ht="12.6" customHeight="1" x14ac:dyDescent="0.2">
      <c r="A35" s="130" t="s">
        <v>76</v>
      </c>
      <c r="B35" s="113"/>
      <c r="C35" s="114"/>
      <c r="D35" s="114"/>
      <c r="E35" s="114"/>
      <c r="F35" s="114"/>
      <c r="G35" s="115"/>
      <c r="H35" s="114"/>
      <c r="I35" s="114"/>
      <c r="J35" s="114"/>
      <c r="K35" s="114"/>
    </row>
    <row r="36" spans="1:11" ht="12.6" customHeight="1" x14ac:dyDescent="0.2">
      <c r="A36" s="131" t="s">
        <v>93</v>
      </c>
      <c r="B36" s="122"/>
      <c r="C36" s="122"/>
      <c r="D36" s="122"/>
      <c r="E36" s="122"/>
      <c r="F36" s="122"/>
      <c r="G36" s="132"/>
      <c r="H36" s="122"/>
      <c r="I36" s="122"/>
      <c r="J36" s="122"/>
      <c r="K36" s="122"/>
    </row>
  </sheetData>
  <mergeCells count="8">
    <mergeCell ref="A5:A7"/>
    <mergeCell ref="B5:B7"/>
    <mergeCell ref="C5:K5"/>
    <mergeCell ref="C6:C7"/>
    <mergeCell ref="D6:G6"/>
    <mergeCell ref="H6:H7"/>
    <mergeCell ref="I6:I7"/>
    <mergeCell ref="J6:K6"/>
  </mergeCells>
  <pageMargins left="0.59055118110236227" right="0.59055118110236227" top="0.59055118110236227" bottom="0.59055118110236227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33</vt:i4>
      </vt:variant>
      <vt:variant>
        <vt:lpstr>Benannte Bereiche</vt:lpstr>
      </vt:variant>
      <vt:variant>
        <vt:i4>14</vt:i4>
      </vt:variant>
    </vt:vector>
  </HeadingPairs>
  <TitlesOfParts>
    <vt:vector size="47" baseType="lpstr">
      <vt:lpstr>Info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2005</vt:lpstr>
      <vt:lpstr>2004</vt:lpstr>
      <vt:lpstr>2003</vt:lpstr>
      <vt:lpstr>2002</vt:lpstr>
      <vt:lpstr>2001</vt:lpstr>
      <vt:lpstr>2000</vt:lpstr>
      <vt:lpstr>1999</vt:lpstr>
      <vt:lpstr>1998</vt:lpstr>
      <vt:lpstr>1997</vt:lpstr>
      <vt:lpstr>1996</vt:lpstr>
      <vt:lpstr>1995</vt:lpstr>
      <vt:lpstr>1994</vt:lpstr>
      <vt:lpstr>1993</vt:lpstr>
      <vt:lpstr>1992</vt:lpstr>
      <vt:lpstr>'2012'!Farbe</vt:lpstr>
      <vt:lpstr>'2013'!Farbe</vt:lpstr>
      <vt:lpstr>'2014'!Farbe</vt:lpstr>
      <vt:lpstr>'2015'!Farbe</vt:lpstr>
      <vt:lpstr>'2016'!Farbe</vt:lpstr>
      <vt:lpstr>'2017'!Farbe</vt:lpstr>
      <vt:lpstr>'2018'!Farbe</vt:lpstr>
      <vt:lpstr>'2013'!Jahrbuch2013</vt:lpstr>
      <vt:lpstr>'2014'!Jahrbuch2013</vt:lpstr>
      <vt:lpstr>'2015'!Jahrbuch2013</vt:lpstr>
      <vt:lpstr>'2016'!Jahrbuch2013</vt:lpstr>
      <vt:lpstr>'2017'!Jahrbuch2013</vt:lpstr>
      <vt:lpstr>'2018'!Jahrbuch2013</vt:lpstr>
      <vt:lpstr>Jahrbuch2013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Haushalte, Familien mit Kindern in Stuttgart seit 1992 nach der Zahl der Kinder und Stadtbezirken</dc:title>
  <dc:subject>TABELLE</dc:subject>
  <dc:creator>U12A002</dc:creator>
  <dc:description/>
  <cp:lastModifiedBy>Brüssow, Fabian</cp:lastModifiedBy>
  <cp:lastPrinted>2012-09-13T13:36:32Z</cp:lastPrinted>
  <dcterms:created xsi:type="dcterms:W3CDTF">2011-08-16T09:00:17Z</dcterms:created>
  <dcterms:modified xsi:type="dcterms:W3CDTF">2024-02-26T16:34:54Z</dcterms:modified>
</cp:coreProperties>
</file>