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240" yWindow="45" windowWidth="14850" windowHeight="8490"/>
  </bookViews>
  <sheets>
    <sheet name="Schema2012" sheetId="32" r:id="rId1"/>
    <sheet name="NK2012" sheetId="34" r:id="rId2"/>
    <sheet name="Nebenerträge" sheetId="35" r:id="rId3"/>
    <sheet name="Zinsaufteilung" sheetId="36" r:id="rId4"/>
    <sheet name="Direkte Kosten" sheetId="37" r:id="rId5"/>
    <sheet name="NKBericht1" sheetId="38" r:id="rId6"/>
  </sheets>
  <definedNames>
    <definedName name="_xlnm.Print_Area" localSheetId="1">'NK2012'!$A$1:$F$93</definedName>
    <definedName name="_xlnm.Print_Area" localSheetId="5">NKBericht1!$A$1:$H$75</definedName>
    <definedName name="_xlnm.Print_Area" localSheetId="0">Schema2012!$A$1:$P$63</definedName>
  </definedNames>
  <calcPr calcId="125725"/>
</workbook>
</file>

<file path=xl/calcChain.xml><?xml version="1.0" encoding="utf-8"?>
<calcChain xmlns="http://schemas.openxmlformats.org/spreadsheetml/2006/main">
  <c r="D7" i="32"/>
  <c r="D8"/>
  <c r="D9"/>
  <c r="K27" s="1"/>
  <c r="D10"/>
  <c r="I39"/>
  <c r="B11" i="34"/>
  <c r="C45"/>
  <c r="D23"/>
  <c r="D21"/>
  <c r="C23"/>
  <c r="C21"/>
  <c r="C10"/>
  <c r="B9"/>
  <c r="G69" i="38"/>
  <c r="G64"/>
  <c r="G57"/>
  <c r="G59"/>
  <c r="G66"/>
  <c r="G71"/>
  <c r="G75"/>
  <c r="G56"/>
  <c r="E48"/>
  <c r="G46"/>
  <c r="G45"/>
  <c r="G32"/>
  <c r="G22"/>
  <c r="G15"/>
  <c r="J59" i="32"/>
  <c r="H54"/>
  <c r="P54" s="1"/>
  <c r="M39"/>
  <c r="H62" i="34"/>
  <c r="D9" i="35"/>
  <c r="B13" i="34"/>
  <c r="D11"/>
  <c r="E11"/>
  <c r="H61"/>
  <c r="H60"/>
  <c r="D43" i="32"/>
  <c r="M13" s="1"/>
  <c r="M47"/>
  <c r="C49" i="34"/>
  <c r="G5" i="37"/>
  <c r="G7"/>
  <c r="G9"/>
  <c r="C12"/>
  <c r="D12"/>
  <c r="E12"/>
  <c r="B10" i="36"/>
  <c r="C6"/>
  <c r="E6"/>
  <c r="E10"/>
  <c r="F8"/>
  <c r="D10"/>
  <c r="B13"/>
  <c r="D5" i="35"/>
  <c r="D7"/>
  <c r="D11"/>
  <c r="F13"/>
  <c r="G13"/>
  <c r="H13"/>
  <c r="D33" i="34"/>
  <c r="E33"/>
  <c r="D35"/>
  <c r="E35"/>
  <c r="B47"/>
  <c r="E47"/>
  <c r="F43" i="32"/>
  <c r="P13" s="1"/>
  <c r="P27"/>
  <c r="P39"/>
  <c r="I48"/>
  <c r="C13" i="34"/>
  <c r="C25"/>
  <c r="D25"/>
  <c r="B37"/>
  <c r="C37"/>
  <c r="D37"/>
  <c r="H37"/>
  <c r="D62"/>
  <c r="K7" i="32"/>
  <c r="M7"/>
  <c r="H9"/>
  <c r="O9"/>
  <c r="B45" i="34"/>
  <c r="E45"/>
  <c r="C58"/>
  <c r="C62"/>
  <c r="C8" i="36"/>
  <c r="E8"/>
  <c r="F12" i="37"/>
  <c r="G12"/>
  <c r="E37" i="34"/>
  <c r="F35"/>
  <c r="I13" i="35"/>
  <c r="D13"/>
  <c r="D9" i="34"/>
  <c r="F33"/>
  <c r="E9"/>
  <c r="B21"/>
  <c r="C60"/>
  <c r="B49"/>
  <c r="H49"/>
  <c r="G48" i="38"/>
  <c r="G23"/>
  <c r="E49" i="34"/>
  <c r="F47"/>
  <c r="F45"/>
  <c r="F6" i="36"/>
  <c r="E13" i="34"/>
  <c r="B23"/>
  <c r="E23"/>
  <c r="F11"/>
  <c r="E21"/>
  <c r="D13"/>
  <c r="H13"/>
  <c r="F9"/>
  <c r="F10" i="36"/>
  <c r="G8"/>
  <c r="E25" i="34"/>
  <c r="F21"/>
  <c r="B58"/>
  <c r="B60"/>
  <c r="E60"/>
  <c r="B25"/>
  <c r="H25"/>
  <c r="G6" i="36"/>
  <c r="G10"/>
  <c r="B62" i="34"/>
  <c r="E58"/>
  <c r="F23"/>
  <c r="E62"/>
  <c r="F58"/>
  <c r="H59"/>
  <c r="F60"/>
  <c r="L5" i="32" l="1"/>
  <c r="P6"/>
  <c r="H64" i="34"/>
  <c r="I6" i="32"/>
  <c r="O12"/>
  <c r="I12"/>
  <c r="M16" l="1"/>
  <c r="F46" s="1"/>
  <c r="P16"/>
  <c r="P43" s="1"/>
  <c r="O53" s="1"/>
  <c r="O56" s="1"/>
  <c r="L32" l="1"/>
  <c r="L18"/>
  <c r="K22"/>
  <c r="K31" s="1"/>
  <c r="D46"/>
  <c r="M35" l="1"/>
  <c r="M43" s="1"/>
  <c r="I35"/>
  <c r="I42" s="1"/>
  <c r="I32"/>
  <c r="I16"/>
  <c r="H53" l="1"/>
  <c r="I44"/>
  <c r="H50" s="1"/>
  <c r="H51" s="1"/>
  <c r="O49"/>
  <c r="L53"/>
  <c r="L56" s="1"/>
  <c r="L62" s="1"/>
  <c r="L49"/>
  <c r="L50" s="1"/>
  <c r="H56" l="1"/>
  <c r="P53"/>
  <c r="P62" l="1"/>
  <c r="P56"/>
  <c r="J58"/>
  <c r="J60" s="1"/>
  <c r="P60" s="1"/>
  <c r="H62"/>
  <c r="P63" l="1"/>
</calcChain>
</file>

<file path=xl/comments1.xml><?xml version="1.0" encoding="utf-8"?>
<comments xmlns="http://schemas.openxmlformats.org/spreadsheetml/2006/main">
  <authors>
    <author>wüstlich</author>
  </authors>
  <commentList>
    <comment ref="M16" authorId="0">
      <text>
        <r>
          <rPr>
            <b/>
            <sz val="10"/>
            <color indexed="81"/>
            <rFont val="Tahoma"/>
            <family val="2"/>
          </rPr>
          <t>wüstlich:</t>
        </r>
        <r>
          <rPr>
            <sz val="10"/>
            <color indexed="81"/>
            <rFont val="Tahoma"/>
            <family val="2"/>
          </rPr>
          <t xml:space="preserve">
Dieses Ergebnis (und auch die anderen) errechnet sich aus der exakten Prozentzahl (70,57…%) und ist somit der "richtige" Wert</t>
        </r>
      </text>
    </comment>
  </commentList>
</comments>
</file>

<file path=xl/comments2.xml><?xml version="1.0" encoding="utf-8"?>
<comments xmlns="http://schemas.openxmlformats.org/spreadsheetml/2006/main">
  <authors>
    <author>u660k08</author>
  </authors>
  <commentList>
    <comment ref="A5" authorId="0">
      <text>
        <r>
          <rPr>
            <b/>
            <sz val="10"/>
            <color indexed="81"/>
            <rFont val="Tahoma"/>
            <family val="2"/>
          </rPr>
          <t>u660k08:</t>
        </r>
        <r>
          <rPr>
            <sz val="10"/>
            <color indexed="81"/>
            <rFont val="Tahoma"/>
            <family val="2"/>
          </rPr>
          <t xml:space="preserve">
Aufteilung Personalkosten nach JA 2011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u660k08: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inkl. Kanalbetriebshof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u660k08: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abzüglich direkte Kosten 1.113.000 €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u660k08:</t>
        </r>
        <r>
          <rPr>
            <sz val="10"/>
            <color indexed="81"/>
            <rFont val="Tahoma"/>
            <family val="2"/>
          </rPr>
          <t xml:space="preserve">
Aufteilung nach JA 2011 (Kanal 46%, KW 54%)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u660k08: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Aufteilung JA 2011
(gerundet), Kanal 64%, KW 36%
Kalk. Zinssatz
5,0%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u660k08: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Aufteilung nach Kostenarten
</t>
        </r>
      </text>
    </comment>
    <comment ref="C43" authorId="0">
      <text>
        <r>
          <rPr>
            <b/>
            <sz val="8"/>
            <color indexed="81"/>
            <rFont val="Tahoma"/>
            <family val="2"/>
          </rPr>
          <t>u660k08: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Aufteilung nach JA 2010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<sst xmlns="http://schemas.openxmlformats.org/spreadsheetml/2006/main" count="236" uniqueCount="169">
  <si>
    <t xml:space="preserve">     Kanalnetz</t>
  </si>
  <si>
    <t xml:space="preserve">     Klärwerke</t>
  </si>
  <si>
    <t>Allgemein</t>
  </si>
  <si>
    <t>Direkt</t>
  </si>
  <si>
    <t>Gesamt</t>
  </si>
  <si>
    <t>Kontrolle:</t>
  </si>
  <si>
    <t>Umlage</t>
  </si>
  <si>
    <t xml:space="preserve">   II. Aufwand</t>
  </si>
  <si>
    <t>Betriebskosten</t>
  </si>
  <si>
    <t>AfA</t>
  </si>
  <si>
    <t>Zinsen</t>
  </si>
  <si>
    <r>
      <t xml:space="preserve"> III. Nebenerträge </t>
    </r>
    <r>
      <rPr>
        <sz val="12"/>
        <rFont val="Arial"/>
        <family val="2"/>
      </rPr>
      <t>(ohne Auflösungen)</t>
    </r>
  </si>
  <si>
    <t>Nebenerträge</t>
  </si>
  <si>
    <t>Auflösungen</t>
  </si>
  <si>
    <t>Aufwand</t>
  </si>
  <si>
    <t xml:space="preserve">   Gesamt</t>
  </si>
  <si>
    <t xml:space="preserve">  V. Gespaltene Kosten</t>
  </si>
  <si>
    <r>
      <t xml:space="preserve">  I. Betriebskosten</t>
    </r>
    <r>
      <rPr>
        <sz val="12"/>
        <rFont val="Arial"/>
        <family val="2"/>
      </rPr>
      <t xml:space="preserve"> (ohne AfA und Zinsen)</t>
    </r>
  </si>
  <si>
    <t>%</t>
  </si>
  <si>
    <t xml:space="preserve"> IV. Nebenerträge (ohne Auflösungen Kanalbeitrag und Erschl.Beitrag)</t>
  </si>
  <si>
    <t>Kanalbeitrag</t>
  </si>
  <si>
    <t>Erschl.Beitrag</t>
  </si>
  <si>
    <t xml:space="preserve">   Auflösungen</t>
  </si>
  <si>
    <t xml:space="preserve"> VI. Abzugskapital </t>
  </si>
  <si>
    <t>Kosten Kanalnetz</t>
  </si>
  <si>
    <t>Kosten Klärwerk</t>
  </si>
  <si>
    <t>insgesamt:</t>
  </si>
  <si>
    <t>Leistungsdaten</t>
  </si>
  <si>
    <t>Schmutzwasser</t>
  </si>
  <si>
    <t>Regenwasser</t>
  </si>
  <si>
    <t>€</t>
  </si>
  <si>
    <t>Kosten insgesamt:</t>
  </si>
  <si>
    <t>Abzugskapital Kanalbeiträge</t>
  </si>
  <si>
    <t>Abzugskapital Vorfluterpauschale</t>
  </si>
  <si>
    <t>Kosten privates Regenwasser</t>
  </si>
  <si>
    <t>Kosten Straßenfläche</t>
  </si>
  <si>
    <t>m³</t>
  </si>
  <si>
    <t>m²</t>
  </si>
  <si>
    <t>Abzugskapital</t>
  </si>
  <si>
    <t>Vorfluterpauschale</t>
  </si>
  <si>
    <t>Kosten Schmutzwasser</t>
  </si>
  <si>
    <t>Kosten Straßenentwässerung</t>
  </si>
  <si>
    <t>Verteilungsdaten</t>
  </si>
  <si>
    <t>:</t>
  </si>
  <si>
    <t>Kosten Regenwasser</t>
  </si>
  <si>
    <t>insgesamt in m²</t>
  </si>
  <si>
    <t>€/m³</t>
  </si>
  <si>
    <t>€/m²</t>
  </si>
  <si>
    <t xml:space="preserve">   Laut VK:</t>
  </si>
  <si>
    <t>Gesamtkosten</t>
  </si>
  <si>
    <t xml:space="preserve">private Entwässerung </t>
  </si>
  <si>
    <t>Gebührenfähige Gesamtkosten</t>
  </si>
  <si>
    <t>Frischwasser +</t>
  </si>
  <si>
    <t xml:space="preserve">   SW:RW=</t>
  </si>
  <si>
    <t xml:space="preserve">   Priv. Fl. : Str. Fl.=</t>
  </si>
  <si>
    <t xml:space="preserve">   Kosten SW : Kosten pr. RW=</t>
  </si>
  <si>
    <t xml:space="preserve">  SW:RW=</t>
  </si>
  <si>
    <t>"Eigenwasser" in m³</t>
  </si>
  <si>
    <t>Starkverschm.zu.</t>
  </si>
  <si>
    <t>Schmutzwasserentgelt</t>
  </si>
  <si>
    <t>(Flächenermittlung durch externe Beratungsfirma)</t>
  </si>
  <si>
    <t>(Flächenermittlung durch Tiefbauamt -Straßendatenbank-)</t>
  </si>
  <si>
    <t>Kosten Kanalnetz (auf Basis externes Gutachten)</t>
  </si>
  <si>
    <t>Kosten Klärwerke (auf Basis externes Gutachten)</t>
  </si>
  <si>
    <t>Kosten privates Niederschlagswasser</t>
  </si>
  <si>
    <t>Niederschlagswassergebühr</t>
  </si>
  <si>
    <t>Private Flächen</t>
  </si>
  <si>
    <t>Öffentliche Flächen</t>
  </si>
  <si>
    <t>Gebührenfähiger Aufwand:</t>
  </si>
  <si>
    <t>Direkte Kosten Schmutzwasser</t>
  </si>
  <si>
    <t>(EnBW-Entgelt)</t>
  </si>
  <si>
    <t>Direkte Kosten privates Nieder-</t>
  </si>
  <si>
    <t>schlagswasser (Steueramt,</t>
  </si>
  <si>
    <t>Stadtm.amt)</t>
  </si>
  <si>
    <t>Direkte Kosten Straßenent-</t>
  </si>
  <si>
    <t>Frischwasser + Eigenwasser</t>
  </si>
  <si>
    <t>Gesamtkosten pr. Entwässerung</t>
  </si>
  <si>
    <t>Direkte Kosten</t>
  </si>
  <si>
    <t>Aktivierte Eigenleistungen</t>
  </si>
  <si>
    <t>errechnet</t>
  </si>
  <si>
    <t>Zinsdifferenz</t>
  </si>
  <si>
    <t>Kalk. Zinsaufwand:</t>
  </si>
  <si>
    <t>Tats. Zinsaufwand:</t>
  </si>
  <si>
    <t xml:space="preserve">   Dir. Kosten</t>
  </si>
  <si>
    <t>lt. SAP-Bilanz</t>
  </si>
  <si>
    <t>Kanal</t>
  </si>
  <si>
    <t>Klärwerke</t>
  </si>
  <si>
    <t>Erstattungen</t>
  </si>
  <si>
    <t>Gemeindebetriebskosten</t>
  </si>
  <si>
    <t>Sonstige Umsatzerlöse</t>
  </si>
  <si>
    <t>Sonstige betriebliche Erträge</t>
  </si>
  <si>
    <t>Summe</t>
  </si>
  <si>
    <t>Kontrolle</t>
  </si>
  <si>
    <t xml:space="preserve">wässerung </t>
  </si>
  <si>
    <t>Zinssatz:</t>
  </si>
  <si>
    <t>Restbuchwerte</t>
  </si>
  <si>
    <t>Anteil in %</t>
  </si>
  <si>
    <t>Kanalnetz</t>
  </si>
  <si>
    <t>(Anteil gesp. Gebühr)</t>
  </si>
  <si>
    <t>Zuordnung Kostenträger</t>
  </si>
  <si>
    <t>SW</t>
  </si>
  <si>
    <t>NW</t>
  </si>
  <si>
    <t>Einzug SW-Entgelt (59715)</t>
  </si>
  <si>
    <t>Steueramt (59802)</t>
  </si>
  <si>
    <t>Stadtmess. Amt (59803)</t>
  </si>
  <si>
    <t>Straßenentw.</t>
  </si>
  <si>
    <t xml:space="preserve">   Unterdeckung</t>
  </si>
  <si>
    <t>gerundet</t>
  </si>
  <si>
    <t>Geb.ausgleichsrückstellung NW</t>
  </si>
  <si>
    <t xml:space="preserve">Dir. Kosten abzgl. Gebausgl.rückst. </t>
  </si>
  <si>
    <t>Dir. Kosten zzgl. Nachholung Kos-</t>
  </si>
  <si>
    <t>Nachholung Kostenunt.deck. SW</t>
  </si>
  <si>
    <t xml:space="preserve">   Aufl. Rüst. NW</t>
  </si>
  <si>
    <t>Kanalbeiträge</t>
  </si>
  <si>
    <t>Unterdeck. SW</t>
  </si>
  <si>
    <t>Geb.ausgleichsrückstellung SW</t>
  </si>
  <si>
    <t>Nachholung Kostenunt.deck. NW</t>
  </si>
  <si>
    <t>tenunterd. abzgl. Gebausgl.rückst.</t>
  </si>
  <si>
    <t>zzgl. Nachholung Kostenunterd.</t>
  </si>
  <si>
    <t>Nachkalkulation 2012</t>
  </si>
  <si>
    <t>Nebenerträge 2012</t>
  </si>
  <si>
    <t>gebucht</t>
  </si>
  <si>
    <t>Differenz</t>
  </si>
  <si>
    <t>Ergebnis Gebührennachkalkulation</t>
  </si>
  <si>
    <t>Zuführung Kostenunterd. NW</t>
  </si>
  <si>
    <t>GAR SW</t>
  </si>
  <si>
    <t xml:space="preserve">                      Anlage X </t>
  </si>
  <si>
    <t>Euro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</si>
  <si>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</si>
  <si>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</si>
  <si>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</si>
  <si>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</si>
  <si>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</si>
  <si>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</si>
  <si>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Nachholung Kostenunterdeckung SW Vorjahre</t>
  </si>
  <si>
    <t>Abzüglich Nebenerträge</t>
  </si>
  <si>
    <t>Entnahme Gebührenausgleichsrückstellung NW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</si>
  <si>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</si>
  <si>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</si>
  <si>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</si>
  <si>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</si>
  <si>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</si>
  <si>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</si>
  <si>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</si>
  <si>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</si>
  <si>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</si>
  <si>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cbm</t>
  </si>
  <si>
    <t>Mengenanteil</t>
  </si>
  <si>
    <t>Frischwasser</t>
  </si>
  <si>
    <t>Flächenbilanz</t>
  </si>
  <si>
    <t>qm</t>
  </si>
  <si>
    <t>Nachkalkulation</t>
  </si>
  <si>
    <t>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</si>
  <si>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</si>
  <si>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</si>
  <si>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</si>
  <si>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</si>
  <si>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</si>
  <si>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</si>
  <si>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 xml:space="preserve">          zuzüglich Ausgleich Kostenunterdeckung SW aus Vorjahren</t>
  </si>
  <si>
    <t>Jahresgewinn/-verlust</t>
  </si>
  <si>
    <t>Entgelt- und Gebührennachkalkulation 2012</t>
  </si>
  <si>
    <t>Kostenüberdeckung 2012</t>
  </si>
  <si>
    <t>Zinsaufteilung 2012</t>
  </si>
  <si>
    <t xml:space="preserve">          abzüglich Zuführung zur Gebührenausgleichsrückstellung SW 2012</t>
  </si>
  <si>
    <t xml:space="preserve">Ermittlung des Schmutzwasserentgelts, der Niederschlagswassergebühr und der Kosten der Straßenentwässerung für 2012 </t>
  </si>
  <si>
    <t>Schema Nachkalkulation 2012</t>
  </si>
  <si>
    <t>Zuführung Kostüberd. SW</t>
  </si>
  <si>
    <t>Jahresergebnis nach HGB</t>
  </si>
</sst>
</file>

<file path=xl/styles.xml><?xml version="1.0" encoding="utf-8"?>
<styleSheet xmlns="http://schemas.openxmlformats.org/spreadsheetml/2006/main">
  <numFmts count="3">
    <numFmt numFmtId="164" formatCode="#,##0&quot; €&quot;"/>
    <numFmt numFmtId="165" formatCode="0.0%"/>
    <numFmt numFmtId="166" formatCode="#,##0\ &quot;€&quot;"/>
  </numFmts>
  <fonts count="30"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1"/>
      <name val="Tahoma"/>
      <family val="2"/>
    </font>
    <font>
      <b/>
      <sz val="1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20" fillId="0" borderId="0"/>
  </cellStyleXfs>
  <cellXfs count="218">
    <xf numFmtId="0" fontId="0" fillId="0" borderId="0" xfId="0"/>
    <xf numFmtId="4" fontId="3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4" fontId="2" fillId="0" borderId="0" xfId="0" quotePrefix="1" applyNumberFormat="1" applyFont="1" applyAlignment="1">
      <alignment horizontal="left"/>
    </xf>
    <xf numFmtId="4" fontId="0" fillId="0" borderId="1" xfId="0" applyNumberFormat="1" applyBorder="1"/>
    <xf numFmtId="4" fontId="0" fillId="0" borderId="0" xfId="0" applyNumberFormat="1" applyAlignment="1">
      <alignment horizontal="center"/>
    </xf>
    <xf numFmtId="4" fontId="2" fillId="0" borderId="0" xfId="0" applyNumberFormat="1" applyFont="1"/>
    <xf numFmtId="4" fontId="0" fillId="0" borderId="0" xfId="0" quotePrefix="1" applyNumberFormat="1" applyAlignment="1">
      <alignment horizontal="left"/>
    </xf>
    <xf numFmtId="4" fontId="2" fillId="0" borderId="1" xfId="0" applyNumberFormat="1" applyFont="1" applyBorder="1"/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4" fontId="4" fillId="0" borderId="1" xfId="0" applyNumberFormat="1" applyFont="1" applyBorder="1"/>
    <xf numFmtId="4" fontId="0" fillId="0" borderId="0" xfId="0" quotePrefix="1" applyNumberFormat="1" applyAlignment="1">
      <alignment horizontal="center"/>
    </xf>
    <xf numFmtId="4" fontId="0" fillId="0" borderId="0" xfId="0" applyNumberFormat="1" applyBorder="1"/>
    <xf numFmtId="0" fontId="5" fillId="0" borderId="0" xfId="2"/>
    <xf numFmtId="0" fontId="7" fillId="0" borderId="0" xfId="2" applyFont="1"/>
    <xf numFmtId="0" fontId="8" fillId="0" borderId="0" xfId="2" applyFont="1"/>
    <xf numFmtId="0" fontId="1" fillId="0" borderId="2" xfId="2" applyFont="1" applyBorder="1"/>
    <xf numFmtId="0" fontId="5" fillId="0" borderId="3" xfId="2" applyBorder="1"/>
    <xf numFmtId="0" fontId="5" fillId="0" borderId="0" xfId="2" applyBorder="1"/>
    <xf numFmtId="0" fontId="5" fillId="0" borderId="4" xfId="2" applyBorder="1"/>
    <xf numFmtId="164" fontId="5" fillId="0" borderId="5" xfId="2" applyNumberFormat="1" applyBorder="1"/>
    <xf numFmtId="0" fontId="9" fillId="0" borderId="0" xfId="2" applyFont="1"/>
    <xf numFmtId="10" fontId="5" fillId="0" borderId="0" xfId="2" applyNumberFormat="1" applyAlignment="1">
      <alignment horizontal="center"/>
    </xf>
    <xf numFmtId="9" fontId="5" fillId="0" borderId="0" xfId="2" applyNumberFormat="1" applyAlignment="1">
      <alignment horizontal="right"/>
    </xf>
    <xf numFmtId="10" fontId="5" fillId="0" borderId="0" xfId="2" applyNumberFormat="1" applyAlignment="1">
      <alignment horizontal="left"/>
    </xf>
    <xf numFmtId="10" fontId="5" fillId="0" borderId="0" xfId="2" applyNumberFormat="1" applyAlignment="1">
      <alignment horizontal="right"/>
    </xf>
    <xf numFmtId="0" fontId="10" fillId="0" borderId="0" xfId="2" applyFont="1"/>
    <xf numFmtId="3" fontId="6" fillId="0" borderId="0" xfId="2" applyNumberFormat="1" applyFont="1" applyFill="1" applyBorder="1" applyAlignment="1">
      <alignment horizontal="right"/>
    </xf>
    <xf numFmtId="0" fontId="9" fillId="0" borderId="4" xfId="2" applyFont="1" applyBorder="1"/>
    <xf numFmtId="10" fontId="10" fillId="0" borderId="0" xfId="2" applyNumberFormat="1" applyFont="1"/>
    <xf numFmtId="10" fontId="10" fillId="0" borderId="0" xfId="2" applyNumberFormat="1" applyFont="1" applyAlignment="1">
      <alignment horizontal="left"/>
    </xf>
    <xf numFmtId="0" fontId="5" fillId="0" borderId="0" xfId="2" applyAlignment="1">
      <alignment horizontal="center"/>
    </xf>
    <xf numFmtId="0" fontId="5" fillId="0" borderId="2" xfId="2" applyBorder="1"/>
    <xf numFmtId="164" fontId="5" fillId="0" borderId="0" xfId="2" applyNumberFormat="1"/>
    <xf numFmtId="164" fontId="5" fillId="0" borderId="0" xfId="2" applyNumberFormat="1" applyBorder="1"/>
    <xf numFmtId="3" fontId="5" fillId="0" borderId="0" xfId="2" applyNumberFormat="1" applyFill="1" applyBorder="1" applyAlignment="1">
      <alignment horizontal="right"/>
    </xf>
    <xf numFmtId="0" fontId="5" fillId="2" borderId="3" xfId="2" applyFill="1" applyBorder="1"/>
    <xf numFmtId="0" fontId="5" fillId="0" borderId="0" xfId="2" applyAlignment="1">
      <alignment horizontal="right"/>
    </xf>
    <xf numFmtId="0" fontId="5" fillId="2" borderId="4" xfId="2" applyFill="1" applyBorder="1"/>
    <xf numFmtId="164" fontId="5" fillId="2" borderId="5" xfId="2" applyNumberFormat="1" applyFill="1" applyBorder="1"/>
    <xf numFmtId="10" fontId="5" fillId="0" borderId="0" xfId="2" applyNumberFormat="1"/>
    <xf numFmtId="10" fontId="5" fillId="0" borderId="0" xfId="2" applyNumberFormat="1" applyBorder="1" applyAlignment="1">
      <alignment horizontal="left"/>
    </xf>
    <xf numFmtId="3" fontId="5" fillId="0" borderId="0" xfId="2" applyNumberFormat="1" applyFill="1" applyBorder="1"/>
    <xf numFmtId="164" fontId="5" fillId="2" borderId="2" xfId="2" applyNumberFormat="1" applyFill="1" applyBorder="1"/>
    <xf numFmtId="0" fontId="5" fillId="2" borderId="6" xfId="2" applyFill="1" applyBorder="1"/>
    <xf numFmtId="0" fontId="5" fillId="2" borderId="7" xfId="2" applyFill="1" applyBorder="1"/>
    <xf numFmtId="0" fontId="5" fillId="0" borderId="0" xfId="2" applyFill="1" applyBorder="1"/>
    <xf numFmtId="164" fontId="5" fillId="0" borderId="0" xfId="2" applyNumberFormat="1" applyFill="1" applyBorder="1"/>
    <xf numFmtId="0" fontId="5" fillId="0" borderId="0" xfId="2" applyNumberFormat="1"/>
    <xf numFmtId="165" fontId="8" fillId="0" borderId="0" xfId="2" applyNumberFormat="1" applyFont="1"/>
    <xf numFmtId="165" fontId="8" fillId="0" borderId="0" xfId="2" applyNumberFormat="1" applyFont="1" applyAlignment="1">
      <alignment horizontal="left"/>
    </xf>
    <xf numFmtId="0" fontId="5" fillId="0" borderId="3" xfId="2" applyFill="1" applyBorder="1"/>
    <xf numFmtId="0" fontId="5" fillId="0" borderId="6" xfId="2" applyFill="1" applyBorder="1"/>
    <xf numFmtId="3" fontId="5" fillId="0" borderId="7" xfId="2" applyNumberFormat="1" applyFill="1" applyBorder="1"/>
    <xf numFmtId="0" fontId="5" fillId="0" borderId="6" xfId="2" applyBorder="1"/>
    <xf numFmtId="3" fontId="10" fillId="0" borderId="7" xfId="2" applyNumberFormat="1" applyFont="1" applyBorder="1"/>
    <xf numFmtId="0" fontId="5" fillId="0" borderId="7" xfId="2" applyFill="1" applyBorder="1"/>
    <xf numFmtId="0" fontId="5" fillId="0" borderId="7" xfId="2" applyBorder="1"/>
    <xf numFmtId="0" fontId="5" fillId="0" borderId="5" xfId="2" applyFill="1" applyBorder="1"/>
    <xf numFmtId="0" fontId="5" fillId="0" borderId="5" xfId="2" applyBorder="1"/>
    <xf numFmtId="0" fontId="5" fillId="0" borderId="0" xfId="2" applyFill="1"/>
    <xf numFmtId="0" fontId="5" fillId="0" borderId="0" xfId="2" applyFont="1" applyFill="1" applyBorder="1"/>
    <xf numFmtId="0" fontId="5" fillId="0" borderId="2" xfId="2" applyFont="1" applyBorder="1"/>
    <xf numFmtId="0" fontId="5" fillId="0" borderId="6" xfId="2" applyFont="1" applyBorder="1"/>
    <xf numFmtId="0" fontId="5" fillId="0" borderId="2" xfId="2" applyFont="1" applyFill="1" applyBorder="1"/>
    <xf numFmtId="0" fontId="5" fillId="0" borderId="4" xfId="2" applyFont="1" applyFill="1" applyBorder="1"/>
    <xf numFmtId="164" fontId="5" fillId="0" borderId="5" xfId="2" applyNumberFormat="1" applyFill="1" applyBorder="1"/>
    <xf numFmtId="10" fontId="5" fillId="0" borderId="0" xfId="2" applyNumberFormat="1" applyBorder="1"/>
    <xf numFmtId="0" fontId="5" fillId="2" borderId="2" xfId="2" applyFont="1" applyFill="1" applyBorder="1"/>
    <xf numFmtId="0" fontId="5" fillId="2" borderId="6" xfId="2" applyFont="1" applyFill="1" applyBorder="1"/>
    <xf numFmtId="0" fontId="5" fillId="0" borderId="0" xfId="2" applyFont="1"/>
    <xf numFmtId="0" fontId="11" fillId="0" borderId="0" xfId="2" applyFont="1"/>
    <xf numFmtId="10" fontId="7" fillId="0" borderId="0" xfId="2" applyNumberFormat="1" applyFont="1"/>
    <xf numFmtId="10" fontId="7" fillId="0" borderId="0" xfId="2" applyNumberFormat="1" applyFont="1" applyAlignment="1">
      <alignment horizontal="center"/>
    </xf>
    <xf numFmtId="10" fontId="7" fillId="0" borderId="0" xfId="2" applyNumberFormat="1" applyFont="1" applyAlignment="1">
      <alignment horizontal="left"/>
    </xf>
    <xf numFmtId="10" fontId="8" fillId="0" borderId="0" xfId="2" applyNumberFormat="1" applyFont="1"/>
    <xf numFmtId="10" fontId="8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left"/>
    </xf>
    <xf numFmtId="10" fontId="8" fillId="0" borderId="0" xfId="2" applyNumberFormat="1" applyFont="1" applyAlignment="1">
      <alignment horizontal="right"/>
    </xf>
    <xf numFmtId="10" fontId="5" fillId="0" borderId="0" xfId="2" applyNumberFormat="1" applyFont="1" applyAlignment="1">
      <alignment horizontal="center"/>
    </xf>
    <xf numFmtId="0" fontId="5" fillId="0" borderId="6" xfId="2" applyFont="1" applyFill="1" applyBorder="1"/>
    <xf numFmtId="2" fontId="5" fillId="0" borderId="4" xfId="2" applyNumberFormat="1" applyFill="1" applyBorder="1"/>
    <xf numFmtId="0" fontId="5" fillId="0" borderId="0" xfId="2" applyFont="1" applyAlignment="1">
      <alignment horizontal="left"/>
    </xf>
    <xf numFmtId="3" fontId="12" fillId="0" borderId="0" xfId="2" applyNumberFormat="1" applyFont="1" applyFill="1" applyBorder="1" applyAlignment="1">
      <alignment horizontal="left"/>
    </xf>
    <xf numFmtId="3" fontId="5" fillId="0" borderId="7" xfId="2" applyNumberFormat="1" applyFont="1" applyFill="1" applyBorder="1"/>
    <xf numFmtId="164" fontId="5" fillId="0" borderId="7" xfId="2" applyNumberFormat="1" applyBorder="1"/>
    <xf numFmtId="3" fontId="10" fillId="0" borderId="0" xfId="2" applyNumberFormat="1" applyFont="1" applyBorder="1"/>
    <xf numFmtId="10" fontId="0" fillId="0" borderId="0" xfId="0" applyNumberFormat="1"/>
    <xf numFmtId="4" fontId="5" fillId="0" borderId="0" xfId="2" applyNumberFormat="1" applyBorder="1"/>
    <xf numFmtId="4" fontId="5" fillId="0" borderId="0" xfId="2" applyNumberFormat="1"/>
    <xf numFmtId="164" fontId="9" fillId="0" borderId="0" xfId="2" applyNumberFormat="1" applyFont="1" applyBorder="1"/>
    <xf numFmtId="4" fontId="2" fillId="0" borderId="0" xfId="0" quotePrefix="1" applyNumberFormat="1" applyFont="1"/>
    <xf numFmtId="0" fontId="9" fillId="0" borderId="0" xfId="2" applyFont="1" applyBorder="1"/>
    <xf numFmtId="164" fontId="5" fillId="0" borderId="3" xfId="2" applyNumberFormat="1" applyFill="1" applyBorder="1"/>
    <xf numFmtId="3" fontId="9" fillId="0" borderId="0" xfId="2" applyNumberFormat="1" applyFont="1"/>
    <xf numFmtId="0" fontId="9" fillId="0" borderId="0" xfId="2" applyFont="1" applyAlignment="1">
      <alignment horizontal="right"/>
    </xf>
    <xf numFmtId="0" fontId="9" fillId="0" borderId="0" xfId="2" applyFont="1" applyAlignment="1">
      <alignment horizontal="left"/>
    </xf>
    <xf numFmtId="165" fontId="9" fillId="0" borderId="0" xfId="2" applyNumberFormat="1" applyFont="1"/>
    <xf numFmtId="165" fontId="9" fillId="0" borderId="0" xfId="2" applyNumberFormat="1" applyFont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/>
    <xf numFmtId="164" fontId="9" fillId="0" borderId="0" xfId="2" applyNumberFormat="1" applyFont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164" fontId="9" fillId="0" borderId="0" xfId="2" applyNumberFormat="1" applyFont="1"/>
    <xf numFmtId="0" fontId="3" fillId="0" borderId="0" xfId="0" applyFont="1"/>
    <xf numFmtId="0" fontId="5" fillId="0" borderId="0" xfId="2" applyFont="1" applyBorder="1"/>
    <xf numFmtId="9" fontId="0" fillId="0" borderId="0" xfId="0" applyNumberFormat="1"/>
    <xf numFmtId="9" fontId="2" fillId="0" borderId="0" xfId="0" applyNumberFormat="1" applyFont="1"/>
    <xf numFmtId="9" fontId="2" fillId="0" borderId="1" xfId="0" applyNumberFormat="1" applyFont="1" applyBorder="1"/>
    <xf numFmtId="10" fontId="2" fillId="0" borderId="0" xfId="0" applyNumberFormat="1" applyFont="1" applyBorder="1"/>
    <xf numFmtId="9" fontId="2" fillId="0" borderId="0" xfId="0" applyNumberFormat="1" applyFont="1" applyBorder="1"/>
    <xf numFmtId="10" fontId="0" fillId="0" borderId="1" xfId="0" applyNumberFormat="1" applyBorder="1"/>
    <xf numFmtId="3" fontId="9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2" applyNumberFormat="1" applyFont="1" applyAlignment="1">
      <alignment horizontal="right"/>
    </xf>
    <xf numFmtId="0" fontId="9" fillId="0" borderId="0" xfId="2" applyFont="1" applyAlignment="1">
      <alignment horizontal="center"/>
    </xf>
    <xf numFmtId="0" fontId="5" fillId="0" borderId="8" xfId="2" applyFill="1" applyBorder="1"/>
    <xf numFmtId="166" fontId="9" fillId="0" borderId="0" xfId="2" applyNumberFormat="1" applyFont="1"/>
    <xf numFmtId="166" fontId="9" fillId="0" borderId="1" xfId="2" applyNumberFormat="1" applyFont="1" applyBorder="1"/>
    <xf numFmtId="0" fontId="10" fillId="0" borderId="6" xfId="2" applyFont="1" applyBorder="1"/>
    <xf numFmtId="10" fontId="9" fillId="0" borderId="0" xfId="2" applyNumberFormat="1" applyFont="1" applyBorder="1"/>
    <xf numFmtId="10" fontId="9" fillId="0" borderId="0" xfId="2" applyNumberFormat="1" applyFont="1" applyBorder="1" applyAlignment="1">
      <alignment horizontal="center"/>
    </xf>
    <xf numFmtId="3" fontId="9" fillId="0" borderId="1" xfId="2" applyNumberFormat="1" applyFont="1" applyBorder="1"/>
    <xf numFmtId="164" fontId="9" fillId="0" borderId="1" xfId="2" applyNumberFormat="1" applyFont="1" applyBorder="1"/>
    <xf numFmtId="0" fontId="9" fillId="0" borderId="1" xfId="2" applyFont="1" applyBorder="1"/>
    <xf numFmtId="0" fontId="20" fillId="0" borderId="0" xfId="1"/>
    <xf numFmtId="0" fontId="20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0" fontId="23" fillId="0" borderId="0" xfId="1" applyFont="1"/>
    <xf numFmtId="0" fontId="24" fillId="0" borderId="0" xfId="1" applyFont="1"/>
    <xf numFmtId="3" fontId="22" fillId="0" borderId="0" xfId="1" applyNumberFormat="1" applyFont="1"/>
    <xf numFmtId="3" fontId="22" fillId="0" borderId="0" xfId="1" applyNumberFormat="1" applyFont="1" applyBorder="1"/>
    <xf numFmtId="0" fontId="25" fillId="0" borderId="0" xfId="1" applyFont="1"/>
    <xf numFmtId="3" fontId="25" fillId="0" borderId="1" xfId="1" applyNumberFormat="1" applyFont="1" applyBorder="1"/>
    <xf numFmtId="3" fontId="22" fillId="0" borderId="1" xfId="1" applyNumberFormat="1" applyFont="1" applyBorder="1"/>
    <xf numFmtId="3" fontId="22" fillId="0" borderId="9" xfId="1" applyNumberFormat="1" applyFont="1" applyBorder="1"/>
    <xf numFmtId="0" fontId="23" fillId="0" borderId="0" xfId="1" applyFont="1" applyBorder="1"/>
    <xf numFmtId="0" fontId="22" fillId="0" borderId="0" xfId="1" applyFont="1" applyBorder="1"/>
    <xf numFmtId="0" fontId="22" fillId="0" borderId="0" xfId="1" applyFont="1" applyBorder="1" applyAlignment="1">
      <alignment horizontal="center"/>
    </xf>
    <xf numFmtId="0" fontId="2" fillId="0" borderId="0" xfId="1" applyFont="1" applyBorder="1"/>
    <xf numFmtId="3" fontId="22" fillId="0" borderId="0" xfId="3" applyNumberFormat="1" applyFont="1" applyBorder="1"/>
    <xf numFmtId="3" fontId="22" fillId="0" borderId="1" xfId="1" applyNumberFormat="1" applyFont="1" applyBorder="1" applyAlignment="1">
      <alignment horizontal="center"/>
    </xf>
    <xf numFmtId="164" fontId="22" fillId="0" borderId="0" xfId="3" applyNumberFormat="1" applyFont="1" applyBorder="1"/>
    <xf numFmtId="10" fontId="22" fillId="0" borderId="0" xfId="1" applyNumberFormat="1" applyFont="1" applyBorder="1"/>
    <xf numFmtId="0" fontId="5" fillId="0" borderId="0" xfId="1" applyFont="1" applyBorder="1"/>
    <xf numFmtId="3" fontId="25" fillId="0" borderId="0" xfId="1" applyNumberFormat="1" applyFont="1" applyBorder="1"/>
    <xf numFmtId="0" fontId="20" fillId="0" borderId="0" xfId="1" applyBorder="1"/>
    <xf numFmtId="10" fontId="25" fillId="0" borderId="0" xfId="1" applyNumberFormat="1" applyFont="1" applyBorder="1"/>
    <xf numFmtId="0" fontId="9" fillId="0" borderId="0" xfId="1" applyFont="1" applyBorder="1"/>
    <xf numFmtId="0" fontId="20" fillId="0" borderId="1" xfId="1" applyBorder="1"/>
    <xf numFmtId="10" fontId="25" fillId="0" borderId="1" xfId="1" applyNumberFormat="1" applyFont="1" applyBorder="1"/>
    <xf numFmtId="3" fontId="20" fillId="0" borderId="0" xfId="1" applyNumberFormat="1" applyBorder="1"/>
    <xf numFmtId="2" fontId="22" fillId="0" borderId="0" xfId="1" applyNumberFormat="1" applyFont="1" applyBorder="1"/>
    <xf numFmtId="2" fontId="23" fillId="0" borderId="0" xfId="1" applyNumberFormat="1" applyFont="1" applyBorder="1"/>
    <xf numFmtId="0" fontId="23" fillId="0" borderId="9" xfId="1" applyFont="1" applyBorder="1"/>
    <xf numFmtId="10" fontId="22" fillId="0" borderId="9" xfId="1" applyNumberFormat="1" applyFont="1" applyBorder="1" applyAlignment="1">
      <alignment horizontal="right"/>
    </xf>
    <xf numFmtId="0" fontId="22" fillId="0" borderId="0" xfId="1" applyFont="1" applyBorder="1" applyAlignment="1"/>
    <xf numFmtId="2" fontId="9" fillId="0" borderId="0" xfId="1" applyNumberFormat="1" applyFont="1" applyBorder="1"/>
    <xf numFmtId="0" fontId="9" fillId="0" borderId="0" xfId="1" applyNumberFormat="1" applyFont="1" applyBorder="1" applyAlignment="1">
      <alignment horizontal="center"/>
    </xf>
    <xf numFmtId="0" fontId="20" fillId="0" borderId="0" xfId="1" applyBorder="1" applyAlignment="1"/>
    <xf numFmtId="2" fontId="2" fillId="0" borderId="0" xfId="1" applyNumberFormat="1" applyFont="1" applyBorder="1"/>
    <xf numFmtId="165" fontId="9" fillId="0" borderId="0" xfId="1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1" applyFont="1"/>
    <xf numFmtId="2" fontId="5" fillId="0" borderId="0" xfId="1" applyNumberFormat="1" applyFont="1"/>
    <xf numFmtId="3" fontId="5" fillId="0" borderId="0" xfId="1" applyNumberFormat="1" applyFont="1" applyAlignment="1">
      <alignment horizontal="center"/>
    </xf>
    <xf numFmtId="0" fontId="5" fillId="0" borderId="0" xfId="1" applyFont="1" applyAlignment="1"/>
    <xf numFmtId="2" fontId="22" fillId="0" borderId="0" xfId="1" applyNumberFormat="1" applyFont="1"/>
    <xf numFmtId="3" fontId="22" fillId="0" borderId="0" xfId="1" applyNumberFormat="1" applyFont="1" applyAlignment="1">
      <alignment horizontal="right"/>
    </xf>
    <xf numFmtId="3" fontId="23" fillId="0" borderId="0" xfId="1" applyNumberFormat="1" applyFont="1"/>
    <xf numFmtId="0" fontId="2" fillId="2" borderId="0" xfId="1" applyFont="1" applyFill="1"/>
    <xf numFmtId="0" fontId="22" fillId="2" borderId="0" xfId="1" applyFont="1" applyFill="1"/>
    <xf numFmtId="3" fontId="22" fillId="2" borderId="0" xfId="1" applyNumberFormat="1" applyFont="1" applyFill="1"/>
    <xf numFmtId="3" fontId="22" fillId="2" borderId="0" xfId="1" applyNumberFormat="1" applyFont="1" applyFill="1" applyBorder="1"/>
    <xf numFmtId="0" fontId="23" fillId="2" borderId="0" xfId="1" applyFont="1" applyFill="1"/>
    <xf numFmtId="3" fontId="23" fillId="2" borderId="9" xfId="1" applyNumberFormat="1" applyFont="1" applyFill="1" applyBorder="1"/>
    <xf numFmtId="0" fontId="26" fillId="0" borderId="0" xfId="2" applyFont="1"/>
    <xf numFmtId="3" fontId="26" fillId="0" borderId="0" xfId="2" applyNumberFormat="1" applyFont="1" applyFill="1" applyBorder="1" applyAlignment="1">
      <alignment horizontal="right"/>
    </xf>
    <xf numFmtId="0" fontId="26" fillId="0" borderId="0" xfId="2" applyFont="1" applyAlignment="1">
      <alignment vertical="center"/>
    </xf>
    <xf numFmtId="0" fontId="27" fillId="0" borderId="0" xfId="2" applyFont="1"/>
    <xf numFmtId="0" fontId="28" fillId="0" borderId="0" xfId="2" applyFont="1"/>
    <xf numFmtId="0" fontId="9" fillId="3" borderId="0" xfId="2" applyFont="1" applyFill="1"/>
    <xf numFmtId="10" fontId="9" fillId="3" borderId="0" xfId="2" applyNumberFormat="1" applyFont="1" applyFill="1" applyBorder="1" applyAlignment="1">
      <alignment horizontal="center"/>
    </xf>
    <xf numFmtId="0" fontId="5" fillId="3" borderId="0" xfId="2" applyFill="1"/>
    <xf numFmtId="166" fontId="9" fillId="3" borderId="0" xfId="2" applyNumberFormat="1" applyFont="1" applyFill="1"/>
    <xf numFmtId="0" fontId="9" fillId="0" borderId="0" xfId="2" applyFont="1" applyAlignment="1"/>
    <xf numFmtId="3" fontId="26" fillId="0" borderId="0" xfId="2" applyNumberFormat="1" applyFont="1"/>
    <xf numFmtId="0" fontId="9" fillId="0" borderId="0" xfId="2" applyFont="1" applyAlignment="1">
      <alignment horizontal="center"/>
    </xf>
    <xf numFmtId="0" fontId="0" fillId="0" borderId="0" xfId="0" applyAlignment="1">
      <alignment horizontal="center"/>
    </xf>
    <xf numFmtId="164" fontId="9" fillId="0" borderId="0" xfId="2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8" xfId="2" applyFont="1" applyBorder="1" applyAlignment="1">
      <alignment horizontal="center"/>
    </xf>
    <xf numFmtId="0" fontId="0" fillId="0" borderId="8" xfId="0" applyBorder="1" applyAlignment="1"/>
    <xf numFmtId="0" fontId="5" fillId="0" borderId="0" xfId="2" applyFont="1" applyAlignment="1">
      <alignment horizontal="center"/>
    </xf>
    <xf numFmtId="164" fontId="5" fillId="0" borderId="0" xfId="2" applyNumberFormat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9" fillId="3" borderId="0" xfId="2" applyNumberFormat="1" applyFont="1" applyFill="1" applyAlignment="1">
      <alignment horizontal="center"/>
    </xf>
    <xf numFmtId="164" fontId="28" fillId="0" borderId="0" xfId="2" applyNumberFormat="1" applyFont="1" applyAlignment="1">
      <alignment horizontal="center"/>
    </xf>
    <xf numFmtId="0" fontId="29" fillId="0" borderId="0" xfId="0" applyFont="1" applyAlignment="1">
      <alignment horizontal="center"/>
    </xf>
    <xf numFmtId="165" fontId="28" fillId="0" borderId="0" xfId="2" applyNumberFormat="1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0" fillId="0" borderId="0" xfId="0" applyAlignment="1"/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/>
    </xf>
  </cellXfs>
  <cellStyles count="4">
    <cellStyle name="Standard" xfId="0" builtinId="0"/>
    <cellStyle name="Standard_Anlage 2a Erfolgsplan" xfId="1"/>
    <cellStyle name="Standard_Berechnung gebührenfähige Gemeinkosten" xfId="2"/>
    <cellStyle name="Standard_Berechnung gebührenfähige Gemeinkosten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723900</xdr:colOff>
      <xdr:row>12</xdr:row>
      <xdr:rowOff>0</xdr:rowOff>
    </xdr:from>
    <xdr:to>
      <xdr:col>13</xdr:col>
      <xdr:colOff>365760</xdr:colOff>
      <xdr:row>14</xdr:row>
      <xdr:rowOff>0</xdr:rowOff>
    </xdr:to>
    <xdr:sp macro="" textlink="">
      <xdr:nvSpPr>
        <xdr:cNvPr id="45070" name="Line 1"/>
        <xdr:cNvSpPr>
          <a:spLocks noChangeShapeType="1"/>
        </xdr:cNvSpPr>
      </xdr:nvSpPr>
      <xdr:spPr bwMode="auto">
        <a:xfrm flipH="1">
          <a:off x="9959340" y="2438400"/>
          <a:ext cx="90678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167640</xdr:colOff>
      <xdr:row>15</xdr:row>
      <xdr:rowOff>160020</xdr:rowOff>
    </xdr:from>
    <xdr:to>
      <xdr:col>11</xdr:col>
      <xdr:colOff>876300</xdr:colOff>
      <xdr:row>19</xdr:row>
      <xdr:rowOff>0</xdr:rowOff>
    </xdr:to>
    <xdr:sp macro="" textlink="">
      <xdr:nvSpPr>
        <xdr:cNvPr id="45071" name="Line 2"/>
        <xdr:cNvSpPr>
          <a:spLocks noChangeShapeType="1"/>
        </xdr:cNvSpPr>
      </xdr:nvSpPr>
      <xdr:spPr bwMode="auto">
        <a:xfrm flipH="1">
          <a:off x="7399020" y="3086100"/>
          <a:ext cx="1752600" cy="510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68580</xdr:colOff>
      <xdr:row>27</xdr:row>
      <xdr:rowOff>7620</xdr:rowOff>
    </xdr:from>
    <xdr:to>
      <xdr:col>10</xdr:col>
      <xdr:colOff>68580</xdr:colOff>
      <xdr:row>28</xdr:row>
      <xdr:rowOff>160020</xdr:rowOff>
    </xdr:to>
    <xdr:sp macro="" textlink="">
      <xdr:nvSpPr>
        <xdr:cNvPr id="45072" name="Line 3"/>
        <xdr:cNvSpPr>
          <a:spLocks noChangeShapeType="1"/>
        </xdr:cNvSpPr>
      </xdr:nvSpPr>
      <xdr:spPr bwMode="auto">
        <a:xfrm flipH="1">
          <a:off x="7299960" y="4945380"/>
          <a:ext cx="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7620</xdr:colOff>
      <xdr:row>16</xdr:row>
      <xdr:rowOff>0</xdr:rowOff>
    </xdr:from>
    <xdr:to>
      <xdr:col>15</xdr:col>
      <xdr:colOff>7620</xdr:colOff>
      <xdr:row>24</xdr:row>
      <xdr:rowOff>22860</xdr:rowOff>
    </xdr:to>
    <xdr:sp macro="" textlink="">
      <xdr:nvSpPr>
        <xdr:cNvPr id="45073" name="Line 4"/>
        <xdr:cNvSpPr>
          <a:spLocks noChangeShapeType="1"/>
        </xdr:cNvSpPr>
      </xdr:nvSpPr>
      <xdr:spPr bwMode="auto">
        <a:xfrm>
          <a:off x="12633960" y="3093720"/>
          <a:ext cx="0" cy="1363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990600</xdr:colOff>
      <xdr:row>26</xdr:row>
      <xdr:rowOff>160020</xdr:rowOff>
    </xdr:from>
    <xdr:to>
      <xdr:col>15</xdr:col>
      <xdr:colOff>0</xdr:colOff>
      <xdr:row>35</xdr:row>
      <xdr:rowOff>160020</xdr:rowOff>
    </xdr:to>
    <xdr:sp macro="" textlink="">
      <xdr:nvSpPr>
        <xdr:cNvPr id="45074" name="Line 5"/>
        <xdr:cNvSpPr>
          <a:spLocks noChangeShapeType="1"/>
        </xdr:cNvSpPr>
      </xdr:nvSpPr>
      <xdr:spPr bwMode="auto">
        <a:xfrm>
          <a:off x="12618720" y="4930140"/>
          <a:ext cx="7620" cy="1508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914400</xdr:colOff>
      <xdr:row>6</xdr:row>
      <xdr:rowOff>0</xdr:rowOff>
    </xdr:from>
    <xdr:to>
      <xdr:col>7</xdr:col>
      <xdr:colOff>914400</xdr:colOff>
      <xdr:row>10</xdr:row>
      <xdr:rowOff>7620</xdr:rowOff>
    </xdr:to>
    <xdr:sp macro="" textlink="">
      <xdr:nvSpPr>
        <xdr:cNvPr id="45075" name="Line 6"/>
        <xdr:cNvSpPr>
          <a:spLocks noChangeShapeType="1"/>
        </xdr:cNvSpPr>
      </xdr:nvSpPr>
      <xdr:spPr bwMode="auto">
        <a:xfrm>
          <a:off x="5311140" y="1379220"/>
          <a:ext cx="0" cy="678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30480</xdr:colOff>
      <xdr:row>12</xdr:row>
      <xdr:rowOff>7620</xdr:rowOff>
    </xdr:from>
    <xdr:to>
      <xdr:col>10</xdr:col>
      <xdr:colOff>15240</xdr:colOff>
      <xdr:row>19</xdr:row>
      <xdr:rowOff>0</xdr:rowOff>
    </xdr:to>
    <xdr:sp macro="" textlink="">
      <xdr:nvSpPr>
        <xdr:cNvPr id="45076" name="Line 7"/>
        <xdr:cNvSpPr>
          <a:spLocks noChangeShapeType="1"/>
        </xdr:cNvSpPr>
      </xdr:nvSpPr>
      <xdr:spPr bwMode="auto">
        <a:xfrm>
          <a:off x="5585460" y="2446020"/>
          <a:ext cx="166116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701040</xdr:colOff>
      <xdr:row>6</xdr:row>
      <xdr:rowOff>0</xdr:rowOff>
    </xdr:from>
    <xdr:to>
      <xdr:col>14</xdr:col>
      <xdr:colOff>701040</xdr:colOff>
      <xdr:row>10</xdr:row>
      <xdr:rowOff>7620</xdr:rowOff>
    </xdr:to>
    <xdr:sp macro="" textlink="">
      <xdr:nvSpPr>
        <xdr:cNvPr id="45077" name="Line 8"/>
        <xdr:cNvSpPr>
          <a:spLocks noChangeShapeType="1"/>
        </xdr:cNvSpPr>
      </xdr:nvSpPr>
      <xdr:spPr bwMode="auto">
        <a:xfrm>
          <a:off x="12329160" y="1379220"/>
          <a:ext cx="0" cy="678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350520</xdr:colOff>
      <xdr:row>6</xdr:row>
      <xdr:rowOff>0</xdr:rowOff>
    </xdr:from>
    <xdr:to>
      <xdr:col>13</xdr:col>
      <xdr:colOff>251460</xdr:colOff>
      <xdr:row>9</xdr:row>
      <xdr:rowOff>160020</xdr:rowOff>
    </xdr:to>
    <xdr:sp macro="" textlink="">
      <xdr:nvSpPr>
        <xdr:cNvPr id="45078" name="Line 9"/>
        <xdr:cNvSpPr>
          <a:spLocks noChangeShapeType="1"/>
        </xdr:cNvSpPr>
      </xdr:nvSpPr>
      <xdr:spPr bwMode="auto">
        <a:xfrm>
          <a:off x="5905500" y="1379220"/>
          <a:ext cx="4846320" cy="662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533400</xdr:colOff>
      <xdr:row>6</xdr:row>
      <xdr:rowOff>68580</xdr:rowOff>
    </xdr:from>
    <xdr:to>
      <xdr:col>14</xdr:col>
      <xdr:colOff>533400</xdr:colOff>
      <xdr:row>10</xdr:row>
      <xdr:rowOff>45720</xdr:rowOff>
    </xdr:to>
    <xdr:sp macro="" textlink="">
      <xdr:nvSpPr>
        <xdr:cNvPr id="45079" name="Line 10"/>
        <xdr:cNvSpPr>
          <a:spLocks noChangeShapeType="1"/>
        </xdr:cNvSpPr>
      </xdr:nvSpPr>
      <xdr:spPr bwMode="auto">
        <a:xfrm flipH="1">
          <a:off x="6088380" y="1371600"/>
          <a:ext cx="607314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68580</xdr:colOff>
      <xdr:row>21</xdr:row>
      <xdr:rowOff>160020</xdr:rowOff>
    </xdr:from>
    <xdr:to>
      <xdr:col>10</xdr:col>
      <xdr:colOff>68580</xdr:colOff>
      <xdr:row>23</xdr:row>
      <xdr:rowOff>160020</xdr:rowOff>
    </xdr:to>
    <xdr:sp macro="" textlink="">
      <xdr:nvSpPr>
        <xdr:cNvPr id="45080" name="Line 11"/>
        <xdr:cNvSpPr>
          <a:spLocks noChangeShapeType="1"/>
        </xdr:cNvSpPr>
      </xdr:nvSpPr>
      <xdr:spPr bwMode="auto">
        <a:xfrm>
          <a:off x="7299960" y="40919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624840</xdr:colOff>
      <xdr:row>12</xdr:row>
      <xdr:rowOff>0</xdr:rowOff>
    </xdr:from>
    <xdr:to>
      <xdr:col>15</xdr:col>
      <xdr:colOff>312420</xdr:colOff>
      <xdr:row>14</xdr:row>
      <xdr:rowOff>0</xdr:rowOff>
    </xdr:to>
    <xdr:sp macro="" textlink="">
      <xdr:nvSpPr>
        <xdr:cNvPr id="45081" name="Line 12"/>
        <xdr:cNvSpPr>
          <a:spLocks noChangeShapeType="1"/>
        </xdr:cNvSpPr>
      </xdr:nvSpPr>
      <xdr:spPr bwMode="auto">
        <a:xfrm>
          <a:off x="12252960" y="2438400"/>
          <a:ext cx="68580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198120</xdr:colOff>
      <xdr:row>31</xdr:row>
      <xdr:rowOff>0</xdr:rowOff>
    </xdr:from>
    <xdr:to>
      <xdr:col>9</xdr:col>
      <xdr:colOff>769620</xdr:colOff>
      <xdr:row>32</xdr:row>
      <xdr:rowOff>160020</xdr:rowOff>
    </xdr:to>
    <xdr:sp macro="" textlink="">
      <xdr:nvSpPr>
        <xdr:cNvPr id="45082" name="Line 13"/>
        <xdr:cNvSpPr>
          <a:spLocks noChangeShapeType="1"/>
        </xdr:cNvSpPr>
      </xdr:nvSpPr>
      <xdr:spPr bwMode="auto">
        <a:xfrm flipH="1">
          <a:off x="5753100" y="5608320"/>
          <a:ext cx="140970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220980</xdr:colOff>
      <xdr:row>31</xdr:row>
      <xdr:rowOff>0</xdr:rowOff>
    </xdr:from>
    <xdr:to>
      <xdr:col>12</xdr:col>
      <xdr:colOff>0</xdr:colOff>
      <xdr:row>33</xdr:row>
      <xdr:rowOff>0</xdr:rowOff>
    </xdr:to>
    <xdr:sp macro="" textlink="">
      <xdr:nvSpPr>
        <xdr:cNvPr id="45083" name="Line 14"/>
        <xdr:cNvSpPr>
          <a:spLocks noChangeShapeType="1"/>
        </xdr:cNvSpPr>
      </xdr:nvSpPr>
      <xdr:spPr bwMode="auto">
        <a:xfrm>
          <a:off x="7452360" y="5608320"/>
          <a:ext cx="178308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952500</xdr:colOff>
      <xdr:row>44</xdr:row>
      <xdr:rowOff>0</xdr:rowOff>
    </xdr:from>
    <xdr:to>
      <xdr:col>7</xdr:col>
      <xdr:colOff>960120</xdr:colOff>
      <xdr:row>44</xdr:row>
      <xdr:rowOff>160020</xdr:rowOff>
    </xdr:to>
    <xdr:sp macro="" textlink="">
      <xdr:nvSpPr>
        <xdr:cNvPr id="45084" name="Line 15"/>
        <xdr:cNvSpPr>
          <a:spLocks noChangeShapeType="1"/>
        </xdr:cNvSpPr>
      </xdr:nvSpPr>
      <xdr:spPr bwMode="auto">
        <a:xfrm>
          <a:off x="5349240" y="7787640"/>
          <a:ext cx="762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83820</xdr:colOff>
      <xdr:row>42</xdr:row>
      <xdr:rowOff>160020</xdr:rowOff>
    </xdr:from>
    <xdr:to>
      <xdr:col>12</xdr:col>
      <xdr:colOff>83820</xdr:colOff>
      <xdr:row>44</xdr:row>
      <xdr:rowOff>160020</xdr:rowOff>
    </xdr:to>
    <xdr:sp macro="" textlink="">
      <xdr:nvSpPr>
        <xdr:cNvPr id="45085" name="Line 16"/>
        <xdr:cNvSpPr>
          <a:spLocks noChangeShapeType="1"/>
        </xdr:cNvSpPr>
      </xdr:nvSpPr>
      <xdr:spPr bwMode="auto">
        <a:xfrm flipH="1">
          <a:off x="9319260" y="761238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952500</xdr:colOff>
      <xdr:row>34</xdr:row>
      <xdr:rowOff>160020</xdr:rowOff>
    </xdr:from>
    <xdr:to>
      <xdr:col>7</xdr:col>
      <xdr:colOff>952500</xdr:colOff>
      <xdr:row>36</xdr:row>
      <xdr:rowOff>0</xdr:rowOff>
    </xdr:to>
    <xdr:sp macro="" textlink="">
      <xdr:nvSpPr>
        <xdr:cNvPr id="45086" name="Line 17"/>
        <xdr:cNvSpPr>
          <a:spLocks noChangeShapeType="1"/>
        </xdr:cNvSpPr>
      </xdr:nvSpPr>
      <xdr:spPr bwMode="auto">
        <a:xfrm>
          <a:off x="5349240" y="627126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952500</xdr:colOff>
      <xdr:row>39</xdr:row>
      <xdr:rowOff>0</xdr:rowOff>
    </xdr:from>
    <xdr:to>
      <xdr:col>7</xdr:col>
      <xdr:colOff>952500</xdr:colOff>
      <xdr:row>39</xdr:row>
      <xdr:rowOff>160020</xdr:rowOff>
    </xdr:to>
    <xdr:sp macro="" textlink="">
      <xdr:nvSpPr>
        <xdr:cNvPr id="45087" name="Line 18"/>
        <xdr:cNvSpPr>
          <a:spLocks noChangeShapeType="1"/>
        </xdr:cNvSpPr>
      </xdr:nvSpPr>
      <xdr:spPr bwMode="auto">
        <a:xfrm>
          <a:off x="5349240" y="694944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91440</xdr:colOff>
      <xdr:row>35</xdr:row>
      <xdr:rowOff>7620</xdr:rowOff>
    </xdr:from>
    <xdr:to>
      <xdr:col>12</xdr:col>
      <xdr:colOff>91440</xdr:colOff>
      <xdr:row>35</xdr:row>
      <xdr:rowOff>152400</xdr:rowOff>
    </xdr:to>
    <xdr:sp macro="" textlink="">
      <xdr:nvSpPr>
        <xdr:cNvPr id="45088" name="Line 19"/>
        <xdr:cNvSpPr>
          <a:spLocks noChangeShapeType="1"/>
        </xdr:cNvSpPr>
      </xdr:nvSpPr>
      <xdr:spPr bwMode="auto">
        <a:xfrm>
          <a:off x="9326880" y="6286500"/>
          <a:ext cx="0" cy="144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91440</xdr:colOff>
      <xdr:row>39</xdr:row>
      <xdr:rowOff>0</xdr:rowOff>
    </xdr:from>
    <xdr:to>
      <xdr:col>12</xdr:col>
      <xdr:colOff>91440</xdr:colOff>
      <xdr:row>40</xdr:row>
      <xdr:rowOff>160020</xdr:rowOff>
    </xdr:to>
    <xdr:sp macro="" textlink="">
      <xdr:nvSpPr>
        <xdr:cNvPr id="45089" name="Line 20"/>
        <xdr:cNvSpPr>
          <a:spLocks noChangeShapeType="1"/>
        </xdr:cNvSpPr>
      </xdr:nvSpPr>
      <xdr:spPr bwMode="auto">
        <a:xfrm flipH="1">
          <a:off x="9326880" y="6949440"/>
          <a:ext cx="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160020</xdr:rowOff>
    </xdr:to>
    <xdr:sp macro="" textlink="">
      <xdr:nvSpPr>
        <xdr:cNvPr id="45090" name="Line 21"/>
        <xdr:cNvSpPr>
          <a:spLocks noChangeShapeType="1"/>
        </xdr:cNvSpPr>
      </xdr:nvSpPr>
      <xdr:spPr bwMode="auto">
        <a:xfrm>
          <a:off x="12626340" y="6949440"/>
          <a:ext cx="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655320</xdr:colOff>
      <xdr:row>57</xdr:row>
      <xdr:rowOff>7620</xdr:rowOff>
    </xdr:from>
    <xdr:to>
      <xdr:col>3</xdr:col>
      <xdr:colOff>655320</xdr:colOff>
      <xdr:row>65</xdr:row>
      <xdr:rowOff>190500</xdr:rowOff>
    </xdr:to>
    <xdr:sp macro="" textlink="">
      <xdr:nvSpPr>
        <xdr:cNvPr id="38194" name="Line 1"/>
        <xdr:cNvSpPr>
          <a:spLocks noChangeShapeType="1"/>
        </xdr:cNvSpPr>
      </xdr:nvSpPr>
      <xdr:spPr bwMode="auto">
        <a:xfrm>
          <a:off x="4389120" y="11079480"/>
          <a:ext cx="0" cy="1729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662940</xdr:colOff>
      <xdr:row>65</xdr:row>
      <xdr:rowOff>190500</xdr:rowOff>
    </xdr:from>
    <xdr:to>
      <xdr:col>3</xdr:col>
      <xdr:colOff>1310640</xdr:colOff>
      <xdr:row>67</xdr:row>
      <xdr:rowOff>83820</xdr:rowOff>
    </xdr:to>
    <xdr:sp macro="" textlink="">
      <xdr:nvSpPr>
        <xdr:cNvPr id="38195" name="Line 2"/>
        <xdr:cNvSpPr>
          <a:spLocks noChangeShapeType="1"/>
        </xdr:cNvSpPr>
      </xdr:nvSpPr>
      <xdr:spPr bwMode="auto">
        <a:xfrm>
          <a:off x="4396740" y="12809220"/>
          <a:ext cx="647700" cy="281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1318260</xdr:colOff>
      <xdr:row>65</xdr:row>
      <xdr:rowOff>190500</xdr:rowOff>
    </xdr:from>
    <xdr:to>
      <xdr:col>3</xdr:col>
      <xdr:colOff>647700</xdr:colOff>
      <xdr:row>67</xdr:row>
      <xdr:rowOff>83820</xdr:rowOff>
    </xdr:to>
    <xdr:sp macro="" textlink="">
      <xdr:nvSpPr>
        <xdr:cNvPr id="38196" name="Line 3"/>
        <xdr:cNvSpPr>
          <a:spLocks noChangeShapeType="1"/>
        </xdr:cNvSpPr>
      </xdr:nvSpPr>
      <xdr:spPr bwMode="auto">
        <a:xfrm flipH="1">
          <a:off x="3726180" y="12809220"/>
          <a:ext cx="655320" cy="281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116"/>
  <dimension ref="A1:R68"/>
  <sheetViews>
    <sheetView tabSelected="1" topLeftCell="E1" zoomScaleNormal="100" workbookViewId="0">
      <selection activeCell="L5" sqref="L5"/>
    </sheetView>
  </sheetViews>
  <sheetFormatPr baseColWidth="10" defaultColWidth="8.88671875" defaultRowHeight="12.75"/>
  <cols>
    <col min="1" max="1" width="14.44140625" style="15" customWidth="1"/>
    <col min="2" max="2" width="5.77734375" style="15" customWidth="1"/>
    <col min="3" max="3" width="2.77734375" style="15" customWidth="1"/>
    <col min="4" max="4" width="8.88671875" style="15" customWidth="1"/>
    <col min="5" max="5" width="2.6640625" style="15" customWidth="1"/>
    <col min="6" max="7" width="8.88671875" style="15" customWidth="1"/>
    <col min="8" max="8" width="13.77734375" style="15" customWidth="1"/>
    <col min="9" max="9" width="10" style="15" customWidth="1"/>
    <col min="10" max="10" width="10" style="15" bestFit="1" customWidth="1"/>
    <col min="11" max="11" width="12.44140625" style="15" customWidth="1"/>
    <col min="12" max="12" width="11.44140625" style="15" customWidth="1"/>
    <col min="13" max="13" width="15.109375" style="15" customWidth="1"/>
    <col min="14" max="14" width="13.44140625" style="15" customWidth="1"/>
    <col min="15" max="15" width="11.88671875" style="15" customWidth="1"/>
    <col min="16" max="16" width="11.21875" style="15" customWidth="1"/>
    <col min="17" max="17" width="10.5546875" style="15" customWidth="1"/>
    <col min="18" max="18" width="9.109375" style="15" bestFit="1" customWidth="1"/>
    <col min="19" max="16384" width="8.88671875" style="15"/>
  </cols>
  <sheetData>
    <row r="1" spans="1:18" s="189" customFormat="1" ht="20.25"/>
    <row r="2" spans="1:18" ht="20.25">
      <c r="A2" s="202" t="s">
        <v>166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8" ht="18">
      <c r="A3" s="203" t="s">
        <v>165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5" spans="1:18" ht="18">
      <c r="H5" s="18" t="s">
        <v>24</v>
      </c>
      <c r="I5" s="19"/>
      <c r="J5" s="20"/>
      <c r="L5" s="196">
        <f>D7+D8</f>
        <v>90000975.239999995</v>
      </c>
      <c r="O5" s="18" t="s">
        <v>25</v>
      </c>
      <c r="P5" s="19"/>
    </row>
    <row r="6" spans="1:18">
      <c r="A6" s="28"/>
      <c r="D6" s="29"/>
      <c r="H6" s="21" t="s">
        <v>26</v>
      </c>
      <c r="I6" s="22">
        <f>D7</f>
        <v>45148664.852111608</v>
      </c>
      <c r="J6" s="20"/>
      <c r="O6" s="21" t="s">
        <v>26</v>
      </c>
      <c r="P6" s="22">
        <f>D8</f>
        <v>44852310.387888387</v>
      </c>
    </row>
    <row r="7" spans="1:18">
      <c r="A7" s="186" t="s">
        <v>24</v>
      </c>
      <c r="B7" s="186"/>
      <c r="C7" s="186"/>
      <c r="D7" s="187">
        <f>'NK2012'!E58</f>
        <v>45148664.852111608</v>
      </c>
      <c r="E7" s="186" t="s">
        <v>30</v>
      </c>
      <c r="K7" s="26">
        <f>F37</f>
        <v>0.55300000000000005</v>
      </c>
      <c r="M7" s="42">
        <f>D40</f>
        <v>0.89080000000000004</v>
      </c>
    </row>
    <row r="8" spans="1:18">
      <c r="A8" s="186" t="s">
        <v>25</v>
      </c>
      <c r="B8" s="186"/>
      <c r="C8" s="186"/>
      <c r="D8" s="187">
        <f>'NK2012'!E60</f>
        <v>44852310.387888387</v>
      </c>
      <c r="E8" s="186" t="s">
        <v>30</v>
      </c>
      <c r="H8" s="24"/>
      <c r="O8" s="25"/>
    </row>
    <row r="9" spans="1:18">
      <c r="A9" s="186" t="s">
        <v>32</v>
      </c>
      <c r="B9" s="186"/>
      <c r="C9" s="186"/>
      <c r="D9" s="187">
        <f>-('NK2012'!C70)</f>
        <v>-5271638.09</v>
      </c>
      <c r="E9" s="186" t="s">
        <v>30</v>
      </c>
      <c r="H9" s="24">
        <f>D37</f>
        <v>0.44700000000000001</v>
      </c>
      <c r="J9" s="26"/>
      <c r="M9" s="27"/>
      <c r="O9" s="24">
        <f>F40</f>
        <v>0.10920000000000001</v>
      </c>
    </row>
    <row r="10" spans="1:18">
      <c r="A10" s="186" t="s">
        <v>33</v>
      </c>
      <c r="B10" s="186"/>
      <c r="C10" s="186"/>
      <c r="D10" s="187">
        <f>-('NK2012'!E70)</f>
        <v>-520976.62</v>
      </c>
      <c r="E10" s="186" t="s">
        <v>30</v>
      </c>
    </row>
    <row r="11" spans="1:18" ht="18">
      <c r="A11" s="188" t="s">
        <v>69</v>
      </c>
      <c r="B11" s="186"/>
      <c r="C11" s="186"/>
      <c r="D11" s="186"/>
      <c r="E11" s="186"/>
      <c r="H11" s="18" t="s">
        <v>28</v>
      </c>
      <c r="I11" s="19"/>
      <c r="N11" s="18" t="s">
        <v>29</v>
      </c>
      <c r="O11" s="19"/>
    </row>
    <row r="12" spans="1:18">
      <c r="A12" s="186" t="s">
        <v>70</v>
      </c>
      <c r="B12" s="186"/>
      <c r="C12" s="186"/>
      <c r="D12" s="187">
        <v>598821.29</v>
      </c>
      <c r="E12" s="186" t="s">
        <v>30</v>
      </c>
      <c r="H12" s="30" t="s">
        <v>31</v>
      </c>
      <c r="I12" s="22">
        <f>D7*D37+P6*D40</f>
        <v>60135891.282424867</v>
      </c>
      <c r="N12" s="30" t="s">
        <v>31</v>
      </c>
      <c r="O12" s="22">
        <f>D8*F40+D7*F37</f>
        <v>29865083.957575131</v>
      </c>
    </row>
    <row r="13" spans="1:18" ht="12.75" customHeight="1">
      <c r="A13" s="186" t="s">
        <v>115</v>
      </c>
      <c r="B13" s="186"/>
      <c r="C13" s="186"/>
      <c r="D13" s="187">
        <v>0</v>
      </c>
      <c r="E13" s="186" t="s">
        <v>30</v>
      </c>
      <c r="M13" s="31">
        <f>D43</f>
        <v>0.70574519117635504</v>
      </c>
      <c r="N13" s="204"/>
      <c r="O13" s="205"/>
      <c r="P13" s="32">
        <f>F43</f>
        <v>0.29425480882364496</v>
      </c>
      <c r="Q13" s="33"/>
    </row>
    <row r="14" spans="1:18" ht="12.75" customHeight="1">
      <c r="A14" s="186" t="s">
        <v>111</v>
      </c>
      <c r="B14" s="186"/>
      <c r="C14" s="186"/>
      <c r="D14" s="187">
        <v>900000</v>
      </c>
      <c r="E14" s="186" t="s">
        <v>30</v>
      </c>
      <c r="N14" s="206"/>
      <c r="O14" s="198"/>
    </row>
    <row r="15" spans="1:18">
      <c r="A15" s="186" t="s">
        <v>71</v>
      </c>
      <c r="B15" s="186"/>
      <c r="C15" s="186"/>
      <c r="D15" s="186"/>
      <c r="E15" s="186"/>
      <c r="L15" s="34" t="s">
        <v>34</v>
      </c>
      <c r="M15" s="19"/>
      <c r="O15" s="34" t="s">
        <v>35</v>
      </c>
      <c r="P15" s="19"/>
    </row>
    <row r="16" spans="1:18">
      <c r="A16" s="186" t="s">
        <v>72</v>
      </c>
      <c r="B16" s="186"/>
      <c r="C16" s="186"/>
      <c r="D16" s="186"/>
      <c r="E16" s="186"/>
      <c r="I16" s="24">
        <f>D46</f>
        <v>0.74047096613233032</v>
      </c>
      <c r="L16" s="21"/>
      <c r="M16" s="22">
        <f>O12*M13</f>
        <v>21077139.387136754</v>
      </c>
      <c r="O16" s="21"/>
      <c r="P16" s="22">
        <f>O12*F43</f>
        <v>8787944.5704383757</v>
      </c>
      <c r="R16" s="35"/>
    </row>
    <row r="17" spans="1:17">
      <c r="A17" s="186" t="s">
        <v>73</v>
      </c>
      <c r="B17" s="186"/>
      <c r="C17" s="186"/>
      <c r="D17" s="187">
        <v>467092</v>
      </c>
      <c r="E17" s="186" t="s">
        <v>30</v>
      </c>
      <c r="L17" s="20"/>
      <c r="M17" s="36"/>
      <c r="P17" s="20"/>
      <c r="Q17" s="36"/>
    </row>
    <row r="18" spans="1:17">
      <c r="A18" s="186" t="s">
        <v>108</v>
      </c>
      <c r="B18" s="186"/>
      <c r="C18" s="186"/>
      <c r="D18" s="187">
        <v>-1900000</v>
      </c>
      <c r="E18" s="186" t="s">
        <v>30</v>
      </c>
      <c r="J18" s="63"/>
      <c r="K18" s="48"/>
      <c r="L18" s="42">
        <f>F46</f>
        <v>0.25952903386766968</v>
      </c>
      <c r="M18" s="36"/>
      <c r="P18" s="20"/>
      <c r="Q18" s="36"/>
    </row>
    <row r="19" spans="1:17">
      <c r="A19" s="186" t="s">
        <v>116</v>
      </c>
      <c r="B19" s="186"/>
      <c r="C19" s="186"/>
      <c r="D19" s="187">
        <v>0</v>
      </c>
      <c r="E19" s="186" t="s">
        <v>30</v>
      </c>
      <c r="J19" s="63"/>
      <c r="K19" s="49"/>
      <c r="L19" s="20"/>
      <c r="M19" s="36"/>
      <c r="P19" s="20"/>
      <c r="Q19" s="36"/>
    </row>
    <row r="20" spans="1:17">
      <c r="A20" s="186" t="s">
        <v>74</v>
      </c>
      <c r="B20" s="186"/>
      <c r="C20" s="186"/>
      <c r="D20" s="186"/>
      <c r="E20" s="186"/>
      <c r="I20" s="42"/>
      <c r="J20" s="64" t="s">
        <v>49</v>
      </c>
      <c r="K20" s="19"/>
      <c r="L20" s="43"/>
      <c r="M20" s="36"/>
      <c r="P20" s="20"/>
      <c r="Q20" s="36"/>
    </row>
    <row r="21" spans="1:17">
      <c r="A21" s="186" t="s">
        <v>93</v>
      </c>
      <c r="B21" s="186"/>
      <c r="C21" s="186"/>
      <c r="D21" s="186"/>
      <c r="E21" s="186"/>
      <c r="J21" s="65" t="s">
        <v>50</v>
      </c>
      <c r="K21" s="59"/>
      <c r="M21" s="20"/>
      <c r="N21" s="20"/>
    </row>
    <row r="22" spans="1:17">
      <c r="A22" s="23" t="s">
        <v>27</v>
      </c>
      <c r="B22" s="186"/>
      <c r="C22" s="186"/>
      <c r="D22" s="187">
        <v>61060</v>
      </c>
      <c r="E22" s="186" t="s">
        <v>30</v>
      </c>
      <c r="I22" s="48"/>
      <c r="J22" s="21"/>
      <c r="K22" s="22">
        <f>I12+M16</f>
        <v>81213030.669561625</v>
      </c>
      <c r="L22" s="48"/>
      <c r="M22" s="48"/>
    </row>
    <row r="23" spans="1:17">
      <c r="A23" s="72"/>
      <c r="D23" s="29"/>
      <c r="H23" s="48"/>
      <c r="I23" s="48"/>
      <c r="L23" s="48"/>
      <c r="M23" s="48"/>
    </row>
    <row r="24" spans="1:17">
      <c r="A24" s="72" t="s">
        <v>75</v>
      </c>
      <c r="C24" s="37"/>
      <c r="D24" s="29">
        <v>35765001</v>
      </c>
      <c r="E24" s="20" t="s">
        <v>36</v>
      </c>
      <c r="H24" s="48"/>
      <c r="I24" s="49"/>
      <c r="L24" s="48"/>
      <c r="M24" s="48"/>
    </row>
    <row r="25" spans="1:17">
      <c r="B25" s="37"/>
      <c r="C25" s="39"/>
      <c r="D25" s="39"/>
      <c r="F25" s="20"/>
      <c r="H25" s="62"/>
      <c r="I25" s="62"/>
      <c r="J25" s="70" t="s">
        <v>38</v>
      </c>
      <c r="K25" s="38"/>
      <c r="O25" s="45" t="s">
        <v>38</v>
      </c>
      <c r="P25" s="38"/>
    </row>
    <row r="26" spans="1:17">
      <c r="A26" s="72" t="s">
        <v>66</v>
      </c>
      <c r="C26" s="37"/>
      <c r="D26" s="29">
        <v>31250733</v>
      </c>
      <c r="E26" s="15" t="s">
        <v>37</v>
      </c>
      <c r="I26" s="48"/>
      <c r="J26" s="71" t="s">
        <v>113</v>
      </c>
      <c r="K26" s="47"/>
      <c r="L26" s="20"/>
      <c r="M26" s="20"/>
      <c r="O26" s="46" t="s">
        <v>39</v>
      </c>
      <c r="P26" s="47"/>
    </row>
    <row r="27" spans="1:17">
      <c r="A27" s="73"/>
      <c r="B27" s="37"/>
      <c r="C27" s="39"/>
      <c r="D27" s="84" t="s">
        <v>60</v>
      </c>
      <c r="I27" s="49"/>
      <c r="J27" s="71"/>
      <c r="K27" s="41">
        <f>D9</f>
        <v>-5271638.09</v>
      </c>
      <c r="L27" s="20"/>
      <c r="M27" s="36"/>
      <c r="O27" s="40"/>
      <c r="P27" s="41">
        <f>D10</f>
        <v>-520976.62</v>
      </c>
    </row>
    <row r="28" spans="1:17">
      <c r="F28" s="44"/>
      <c r="J28" s="122"/>
      <c r="L28" s="36"/>
      <c r="M28" s="90"/>
      <c r="P28" s="36"/>
      <c r="Q28" s="20"/>
    </row>
    <row r="29" spans="1:17">
      <c r="A29" s="72" t="s">
        <v>67</v>
      </c>
      <c r="C29" s="37"/>
      <c r="D29" s="29">
        <v>13029743</v>
      </c>
      <c r="E29" s="44" t="s">
        <v>37</v>
      </c>
      <c r="I29" s="42"/>
      <c r="L29" s="26"/>
      <c r="M29" s="91"/>
    </row>
    <row r="30" spans="1:17">
      <c r="A30" s="73"/>
      <c r="C30" s="37"/>
      <c r="D30" s="85" t="s">
        <v>61</v>
      </c>
      <c r="I30" s="42"/>
      <c r="J30" s="66" t="s">
        <v>76</v>
      </c>
      <c r="K30" s="53"/>
      <c r="L30" s="26"/>
    </row>
    <row r="31" spans="1:17">
      <c r="J31" s="67"/>
      <c r="K31" s="68">
        <f>K22+K27</f>
        <v>75941392.579561621</v>
      </c>
    </row>
    <row r="32" spans="1:17">
      <c r="H32" s="48"/>
      <c r="I32" s="26">
        <f>D46</f>
        <v>0.74047096613233032</v>
      </c>
      <c r="L32" s="69">
        <f>F46</f>
        <v>0.25952903386766968</v>
      </c>
      <c r="M32" s="48"/>
    </row>
    <row r="33" spans="1:17">
      <c r="H33" s="48"/>
      <c r="M33" s="48"/>
    </row>
    <row r="34" spans="1:17">
      <c r="A34" s="23" t="s">
        <v>42</v>
      </c>
      <c r="H34" s="66" t="s">
        <v>40</v>
      </c>
      <c r="I34" s="95"/>
      <c r="L34" s="64" t="s">
        <v>64</v>
      </c>
      <c r="M34" s="19"/>
      <c r="O34" s="111"/>
      <c r="P34" s="20"/>
    </row>
    <row r="35" spans="1:17">
      <c r="H35" s="21"/>
      <c r="I35" s="68">
        <f>K31*I32</f>
        <v>56232396.332822576</v>
      </c>
      <c r="L35" s="21"/>
      <c r="M35" s="22">
        <f>(K31*L32)</f>
        <v>19708996.246739049</v>
      </c>
      <c r="O35" s="20"/>
      <c r="P35" s="49"/>
    </row>
    <row r="36" spans="1:17">
      <c r="A36" s="72" t="s">
        <v>62</v>
      </c>
    </row>
    <row r="37" spans="1:17">
      <c r="A37" s="72" t="s">
        <v>53</v>
      </c>
      <c r="D37" s="74">
        <v>0.44700000000000001</v>
      </c>
      <c r="E37" s="75" t="s">
        <v>43</v>
      </c>
      <c r="F37" s="76">
        <v>0.55300000000000005</v>
      </c>
      <c r="H37" s="64" t="s">
        <v>110</v>
      </c>
      <c r="I37" s="19"/>
      <c r="L37" s="64" t="s">
        <v>109</v>
      </c>
      <c r="M37" s="19"/>
      <c r="O37" s="64" t="s">
        <v>77</v>
      </c>
      <c r="P37" s="19"/>
    </row>
    <row r="38" spans="1:17">
      <c r="H38" s="125" t="s">
        <v>117</v>
      </c>
      <c r="I38" s="59"/>
      <c r="L38" s="125" t="s">
        <v>118</v>
      </c>
      <c r="M38" s="59"/>
      <c r="O38" s="65"/>
      <c r="P38" s="59"/>
    </row>
    <row r="39" spans="1:17">
      <c r="A39" s="72" t="s">
        <v>63</v>
      </c>
      <c r="H39" s="21"/>
      <c r="I39" s="68">
        <f>D12+D13+D14</f>
        <v>1498821.29</v>
      </c>
      <c r="L39" s="21"/>
      <c r="M39" s="68">
        <f>D17+D18+D19</f>
        <v>-1432908</v>
      </c>
      <c r="O39" s="21"/>
      <c r="P39" s="68">
        <f>D22</f>
        <v>61060</v>
      </c>
    </row>
    <row r="40" spans="1:17">
      <c r="A40" s="72" t="s">
        <v>56</v>
      </c>
      <c r="B40" s="16"/>
      <c r="C40" s="16"/>
      <c r="D40" s="74">
        <v>0.89080000000000004</v>
      </c>
      <c r="E40" s="75" t="s">
        <v>43</v>
      </c>
      <c r="F40" s="76">
        <v>0.10920000000000001</v>
      </c>
      <c r="J40" s="20"/>
      <c r="N40" s="20"/>
      <c r="Q40" s="20"/>
    </row>
    <row r="41" spans="1:17">
      <c r="H41" s="34" t="s">
        <v>40</v>
      </c>
      <c r="I41" s="19"/>
      <c r="J41" s="20"/>
      <c r="N41" s="20"/>
      <c r="Q41" s="20"/>
    </row>
    <row r="42" spans="1:17">
      <c r="A42" s="15" t="s">
        <v>44</v>
      </c>
      <c r="B42" s="50"/>
      <c r="C42" s="50"/>
      <c r="D42" s="26"/>
      <c r="E42" s="42"/>
      <c r="F42" s="42"/>
      <c r="H42" s="56"/>
      <c r="I42" s="87">
        <f>I35+I39</f>
        <v>57731217.622822575</v>
      </c>
      <c r="J42" s="20"/>
      <c r="L42" s="64" t="s">
        <v>64</v>
      </c>
      <c r="M42" s="19"/>
      <c r="N42" s="20"/>
      <c r="O42" s="34" t="s">
        <v>41</v>
      </c>
      <c r="P42" s="19"/>
      <c r="Q42" s="20"/>
    </row>
    <row r="43" spans="1:17">
      <c r="A43" s="72" t="s">
        <v>54</v>
      </c>
      <c r="D43" s="77">
        <f>D26/(D26+D29)</f>
        <v>0.70574519117635504</v>
      </c>
      <c r="E43" s="78" t="s">
        <v>43</v>
      </c>
      <c r="F43" s="79">
        <f>D29/(D26+D29)</f>
        <v>0.29425480882364496</v>
      </c>
      <c r="H43" s="65" t="s">
        <v>58</v>
      </c>
      <c r="I43" s="22">
        <v>-46797</v>
      </c>
      <c r="J43" s="20"/>
      <c r="L43" s="21"/>
      <c r="M43" s="68">
        <f>M35+M39</f>
        <v>18276088.246739049</v>
      </c>
      <c r="N43" s="20"/>
      <c r="O43" s="21"/>
      <c r="P43" s="22">
        <f>P16+P27+P39</f>
        <v>8328027.9504383756</v>
      </c>
      <c r="Q43" s="20"/>
    </row>
    <row r="44" spans="1:17">
      <c r="D44" s="42"/>
      <c r="E44" s="42"/>
      <c r="F44" s="42"/>
      <c r="H44" s="21"/>
      <c r="I44" s="22">
        <f>I42+I43</f>
        <v>57684420.622822575</v>
      </c>
      <c r="J44" s="20"/>
      <c r="N44" s="20"/>
      <c r="Q44" s="20"/>
    </row>
    <row r="45" spans="1:17">
      <c r="A45" s="72" t="s">
        <v>51</v>
      </c>
      <c r="C45" s="17"/>
      <c r="D45" s="77"/>
      <c r="E45" s="42"/>
      <c r="F45" s="42"/>
      <c r="J45" s="20"/>
      <c r="N45" s="20"/>
      <c r="Q45" s="20"/>
    </row>
    <row r="46" spans="1:17">
      <c r="A46" s="72" t="s">
        <v>55</v>
      </c>
      <c r="B46" s="51"/>
      <c r="C46" s="17"/>
      <c r="D46" s="80">
        <f>I12/(I12+M16)</f>
        <v>0.74047096613233032</v>
      </c>
      <c r="E46" s="81" t="s">
        <v>43</v>
      </c>
      <c r="F46" s="79">
        <f>M16/(I12+M16)</f>
        <v>0.25952903386766968</v>
      </c>
      <c r="H46" s="66" t="s">
        <v>59</v>
      </c>
      <c r="I46" s="53"/>
      <c r="L46" s="64" t="s">
        <v>65</v>
      </c>
      <c r="M46" s="19"/>
      <c r="O46" s="20"/>
      <c r="P46" s="20"/>
    </row>
    <row r="47" spans="1:17">
      <c r="H47" s="82" t="s">
        <v>52</v>
      </c>
      <c r="I47" s="59"/>
      <c r="L47" s="56" t="s">
        <v>45</v>
      </c>
      <c r="M47" s="57">
        <f>D26</f>
        <v>31250733</v>
      </c>
      <c r="O47" s="94" t="s">
        <v>68</v>
      </c>
      <c r="P47" s="94"/>
    </row>
    <row r="48" spans="1:17">
      <c r="H48" s="82" t="s">
        <v>57</v>
      </c>
      <c r="I48" s="55">
        <f>D24</f>
        <v>35765001</v>
      </c>
      <c r="L48" s="56"/>
      <c r="M48" s="59"/>
      <c r="O48" s="20"/>
      <c r="P48" s="88"/>
    </row>
    <row r="49" spans="1:16">
      <c r="A49" s="23"/>
      <c r="H49" s="82"/>
      <c r="I49" s="86"/>
      <c r="L49" s="56">
        <f>M43/M47</f>
        <v>0.58482110633177942</v>
      </c>
      <c r="M49" s="59"/>
      <c r="O49" s="92">
        <f>I42+M43+P43</f>
        <v>84335333.820000008</v>
      </c>
      <c r="P49" s="20"/>
    </row>
    <row r="50" spans="1:16">
      <c r="H50" s="54">
        <f>I44/I48</f>
        <v>1.6128734519767685</v>
      </c>
      <c r="I50" s="58"/>
      <c r="L50" s="83">
        <f>ROUND(L49,2)</f>
        <v>0.57999999999999996</v>
      </c>
      <c r="M50" s="61" t="s">
        <v>47</v>
      </c>
    </row>
    <row r="51" spans="1:16">
      <c r="B51" s="51"/>
      <c r="C51" s="17"/>
      <c r="D51" s="52"/>
      <c r="H51" s="83">
        <f>ROUND(H50,2)</f>
        <v>1.61</v>
      </c>
      <c r="I51" s="60" t="s">
        <v>46</v>
      </c>
    </row>
    <row r="53" spans="1:16">
      <c r="B53" s="51"/>
      <c r="C53" s="17"/>
      <c r="D53" s="17"/>
      <c r="G53" s="23" t="s">
        <v>79</v>
      </c>
      <c r="H53" s="199">
        <f>I42</f>
        <v>57731217.622822575</v>
      </c>
      <c r="I53" s="199"/>
      <c r="J53" s="96"/>
      <c r="K53" s="96"/>
      <c r="L53" s="199">
        <f>M43</f>
        <v>18276088.246739049</v>
      </c>
      <c r="M53" s="207"/>
      <c r="N53" s="96"/>
      <c r="O53" s="109">
        <f>P43</f>
        <v>8328027.9504383756</v>
      </c>
      <c r="P53" s="109">
        <f>SUM(H53:O53)</f>
        <v>84335333.820000008</v>
      </c>
    </row>
    <row r="54" spans="1:16">
      <c r="B54" s="51"/>
      <c r="C54" s="17"/>
      <c r="D54" s="17"/>
      <c r="G54" s="130" t="s">
        <v>121</v>
      </c>
      <c r="H54" s="201">
        <f>52570145.73+788189.29+854037.36+4193392.16</f>
        <v>58405764.539999992</v>
      </c>
      <c r="I54" s="201"/>
      <c r="J54" s="128"/>
      <c r="K54" s="128"/>
      <c r="L54" s="201">
        <v>17962369.010000002</v>
      </c>
      <c r="M54" s="201"/>
      <c r="N54" s="128"/>
      <c r="O54" s="129">
        <v>7500000</v>
      </c>
      <c r="P54" s="129">
        <f>SUM(H54:O54)</f>
        <v>83868133.549999997</v>
      </c>
    </row>
    <row r="55" spans="1:16" ht="6.75" customHeight="1">
      <c r="B55" s="51"/>
      <c r="C55" s="17"/>
      <c r="D55" s="17"/>
      <c r="G55" s="23"/>
      <c r="H55" s="107"/>
      <c r="I55" s="107"/>
      <c r="J55" s="96"/>
      <c r="K55" s="96"/>
      <c r="L55" s="107"/>
      <c r="M55" s="107"/>
      <c r="N55" s="96"/>
      <c r="O55" s="109"/>
      <c r="P55" s="109"/>
    </row>
    <row r="56" spans="1:16">
      <c r="B56" s="51"/>
      <c r="C56" s="17"/>
      <c r="D56" s="17"/>
      <c r="G56" s="23" t="s">
        <v>122</v>
      </c>
      <c r="H56" s="199">
        <f>H54-H53</f>
        <v>674546.91717741638</v>
      </c>
      <c r="I56" s="199"/>
      <c r="J56" s="96"/>
      <c r="K56" s="96"/>
      <c r="L56" s="199">
        <f>L54-L53</f>
        <v>-313719.23673904687</v>
      </c>
      <c r="M56" s="199"/>
      <c r="N56" s="96"/>
      <c r="O56" s="109">
        <f>O54-O53</f>
        <v>-828027.95043837558</v>
      </c>
      <c r="P56" s="109">
        <f>SUM(H56:O56)</f>
        <v>-467200.27000000607</v>
      </c>
    </row>
    <row r="57" spans="1:16" ht="12" customHeight="1">
      <c r="A57" s="186"/>
      <c r="B57" s="186"/>
      <c r="C57" s="186"/>
      <c r="D57" s="186"/>
      <c r="G57" s="23"/>
      <c r="H57" s="107"/>
      <c r="I57" s="107"/>
      <c r="J57" s="118"/>
      <c r="K57" s="118"/>
      <c r="L57" s="107"/>
      <c r="M57" s="119"/>
      <c r="O57" s="120"/>
      <c r="P57" s="109"/>
    </row>
    <row r="58" spans="1:16" ht="12.75" customHeight="1">
      <c r="A58" s="190" t="s">
        <v>94</v>
      </c>
      <c r="B58" s="213">
        <v>5.5E-2</v>
      </c>
      <c r="C58" s="214"/>
      <c r="D58" s="214"/>
      <c r="G58" s="23" t="s">
        <v>123</v>
      </c>
      <c r="J58" s="199">
        <f>H56+L56</f>
        <v>360827.68043836951</v>
      </c>
      <c r="K58" s="200"/>
      <c r="O58" s="97"/>
      <c r="P58" s="96"/>
    </row>
    <row r="59" spans="1:16">
      <c r="A59" s="186"/>
      <c r="B59" s="186"/>
      <c r="C59" s="186"/>
      <c r="D59" s="186"/>
      <c r="G59" s="23" t="s">
        <v>80</v>
      </c>
      <c r="H59" s="126"/>
      <c r="I59" s="23"/>
      <c r="J59" s="201">
        <f>B61-B62</f>
        <v>5654266.5599999987</v>
      </c>
      <c r="K59" s="201"/>
      <c r="L59" s="23"/>
      <c r="M59" s="127"/>
    </row>
    <row r="60" spans="1:16">
      <c r="A60" s="186"/>
      <c r="B60" s="186"/>
      <c r="C60" s="186"/>
      <c r="D60" s="186"/>
      <c r="G60" s="23"/>
      <c r="H60" s="126"/>
      <c r="I60" s="23"/>
      <c r="J60" s="210">
        <f>J58+J59</f>
        <v>6015094.2404383682</v>
      </c>
      <c r="K60" s="210"/>
      <c r="L60" s="191"/>
      <c r="M60" s="192"/>
      <c r="N60" s="193"/>
      <c r="O60" s="191"/>
      <c r="P60" s="194">
        <f>J60</f>
        <v>6015094.2404383682</v>
      </c>
    </row>
    <row r="61" spans="1:16" ht="15">
      <c r="A61" s="190" t="s">
        <v>81</v>
      </c>
      <c r="B61" s="211">
        <v>26900000</v>
      </c>
      <c r="C61" s="211"/>
      <c r="D61" s="212"/>
      <c r="G61" s="23"/>
      <c r="O61" s="23" t="s">
        <v>114</v>
      </c>
      <c r="P61" s="123">
        <v>900000</v>
      </c>
    </row>
    <row r="62" spans="1:16" ht="15.75">
      <c r="A62" s="190" t="s">
        <v>82</v>
      </c>
      <c r="B62" s="211">
        <v>21245733.440000001</v>
      </c>
      <c r="C62" s="211"/>
      <c r="D62" s="212"/>
      <c r="E62" s="195" t="s">
        <v>167</v>
      </c>
      <c r="F62" s="195"/>
      <c r="G62" s="195"/>
      <c r="H62" s="199">
        <f>H56</f>
        <v>674546.91717741638</v>
      </c>
      <c r="I62" s="200"/>
      <c r="J62" s="197" t="s">
        <v>124</v>
      </c>
      <c r="K62" s="198"/>
      <c r="L62" s="199">
        <f>L56</f>
        <v>-313719.23673904687</v>
      </c>
      <c r="M62" s="215"/>
      <c r="O62" s="23" t="s">
        <v>125</v>
      </c>
      <c r="P62" s="124">
        <f>-H56</f>
        <v>-674546.91717741638</v>
      </c>
    </row>
    <row r="63" spans="1:16" ht="15">
      <c r="A63" s="23"/>
      <c r="B63" s="199"/>
      <c r="C63" s="199"/>
      <c r="D63" s="198"/>
      <c r="H63" s="99"/>
      <c r="I63" s="100"/>
      <c r="L63" s="121"/>
      <c r="M63" s="109"/>
      <c r="N63" s="197" t="s">
        <v>168</v>
      </c>
      <c r="O63" s="197"/>
      <c r="P63" s="109">
        <f>P60+P61+P62</f>
        <v>6240547.3232609518</v>
      </c>
    </row>
    <row r="64" spans="1:16" ht="11.25" customHeight="1">
      <c r="H64" s="208"/>
      <c r="I64" s="209"/>
    </row>
    <row r="65" spans="1:15" ht="15.75">
      <c r="A65" s="23"/>
      <c r="H65" s="208"/>
      <c r="I65" s="209"/>
      <c r="L65" s="208"/>
      <c r="M65" s="209"/>
      <c r="O65" s="98"/>
    </row>
    <row r="66" spans="1:15">
      <c r="K66" s="107"/>
      <c r="L66" s="107"/>
    </row>
    <row r="68" spans="1:15" ht="15.75">
      <c r="H68" s="108"/>
      <c r="I68" s="105"/>
    </row>
  </sheetData>
  <mergeCells count="24">
    <mergeCell ref="B63:D63"/>
    <mergeCell ref="B62:D62"/>
    <mergeCell ref="B61:D61"/>
    <mergeCell ref="B58:D58"/>
    <mergeCell ref="L65:M65"/>
    <mergeCell ref="J59:K59"/>
    <mergeCell ref="H62:I62"/>
    <mergeCell ref="L62:M62"/>
    <mergeCell ref="H65:I65"/>
    <mergeCell ref="H64:I64"/>
    <mergeCell ref="H56:I56"/>
    <mergeCell ref="L56:M56"/>
    <mergeCell ref="J60:K60"/>
    <mergeCell ref="N63:O63"/>
    <mergeCell ref="A2:P2"/>
    <mergeCell ref="A3:P3"/>
    <mergeCell ref="N13:O13"/>
    <mergeCell ref="N14:O14"/>
    <mergeCell ref="L53:M53"/>
    <mergeCell ref="J62:K62"/>
    <mergeCell ref="H53:I53"/>
    <mergeCell ref="J58:K58"/>
    <mergeCell ref="H54:I54"/>
    <mergeCell ref="L54:M54"/>
  </mergeCells>
  <phoneticPr fontId="13" type="noConversion"/>
  <pageMargins left="0.43307086614173229" right="0.19685039370078741" top="0.19685039370078741" bottom="0.15748031496062992" header="0.19685039370078741" footer="0.15748031496062992"/>
  <pageSetup paperSize="9" scale="67" orientation="landscape" r:id="rId1"/>
  <headerFooter alignWithMargins="0">
    <oddHeader>&amp;RAnlage 5b zur GRDrs 912/2013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opLeftCell="A28" zoomScale="80" zoomScaleNormal="80" workbookViewId="0">
      <selection activeCell="C45" sqref="C45"/>
    </sheetView>
  </sheetViews>
  <sheetFormatPr baseColWidth="10" defaultColWidth="11.5546875" defaultRowHeight="15"/>
  <cols>
    <col min="1" max="1" width="12.77734375" style="3" customWidth="1"/>
    <col min="2" max="2" width="15.88671875" style="3" customWidth="1"/>
    <col min="3" max="4" width="15.77734375" style="3" customWidth="1"/>
    <col min="5" max="5" width="15.6640625" style="3" customWidth="1"/>
    <col min="6" max="6" width="10.88671875" style="3" customWidth="1"/>
    <col min="7" max="7" width="14.44140625" style="3" customWidth="1"/>
    <col min="8" max="8" width="15.6640625" style="3" customWidth="1"/>
    <col min="9" max="11" width="11.5546875" style="3"/>
    <col min="12" max="12" width="12.6640625" style="3" bestFit="1" customWidth="1"/>
    <col min="13" max="16384" width="11.5546875" style="3"/>
  </cols>
  <sheetData>
    <row r="1" spans="1:10" ht="20.25">
      <c r="A1" s="1" t="s">
        <v>119</v>
      </c>
      <c r="B1" s="2"/>
      <c r="C1" s="2"/>
    </row>
    <row r="2" spans="1:10" ht="20.25">
      <c r="A2" s="1"/>
      <c r="B2" s="2"/>
      <c r="C2" s="2"/>
      <c r="D2" s="7"/>
    </row>
    <row r="3" spans="1:10" ht="16.5" customHeight="1">
      <c r="A3" s="1"/>
      <c r="B3" s="2"/>
      <c r="C3" s="2"/>
    </row>
    <row r="4" spans="1:10" ht="15.75">
      <c r="A4" s="7"/>
      <c r="B4" s="7"/>
      <c r="C4" s="7"/>
      <c r="D4" s="11"/>
      <c r="F4" s="93"/>
    </row>
    <row r="5" spans="1:10" ht="15.75">
      <c r="A5" s="4" t="s">
        <v>17</v>
      </c>
      <c r="E5" s="11"/>
    </row>
    <row r="7" spans="1:10">
      <c r="B7" s="6" t="s">
        <v>3</v>
      </c>
      <c r="C7" s="6" t="s">
        <v>2</v>
      </c>
      <c r="D7" s="6" t="s">
        <v>6</v>
      </c>
      <c r="E7" s="6" t="s">
        <v>4</v>
      </c>
      <c r="F7" s="6" t="s">
        <v>18</v>
      </c>
    </row>
    <row r="9" spans="1:10">
      <c r="A9" s="3" t="s">
        <v>0</v>
      </c>
      <c r="B9" s="3">
        <f>4385366.91+6722912.35+1837534.08+2712.53</f>
        <v>12948525.869999999</v>
      </c>
      <c r="D9" s="3">
        <f>C10/B13*B9</f>
        <v>2581534.7950716033</v>
      </c>
      <c r="E9" s="3">
        <f>B9+D9</f>
        <v>15530060.665071603</v>
      </c>
      <c r="F9" s="3">
        <f>E9/E13%</f>
        <v>30.988462314569276</v>
      </c>
    </row>
    <row r="10" spans="1:10">
      <c r="C10" s="3">
        <f>747297.67+2588777.78+6121529.67-1126973</f>
        <v>8330632.1199999992</v>
      </c>
    </row>
    <row r="11" spans="1:10">
      <c r="A11" s="3" t="s">
        <v>1</v>
      </c>
      <c r="B11" s="5">
        <f>15058283.74+10021711.02+3752270.51+4198.83</f>
        <v>28836464.099999994</v>
      </c>
      <c r="C11" s="5"/>
      <c r="D11" s="5">
        <f>C10/B13*B11</f>
        <v>5749097.3249283964</v>
      </c>
      <c r="E11" s="5">
        <f>B11+D11</f>
        <v>34585561.424928389</v>
      </c>
      <c r="F11" s="5">
        <f>E11/E13%</f>
        <v>69.011537685430724</v>
      </c>
      <c r="H11" s="6" t="s">
        <v>5</v>
      </c>
    </row>
    <row r="13" spans="1:10">
      <c r="B13" s="3">
        <f>SUM(B9:B11)</f>
        <v>41784989.969999991</v>
      </c>
      <c r="C13" s="3">
        <f>C10</f>
        <v>8330632.1199999992</v>
      </c>
      <c r="D13" s="3">
        <f>SUM(D9:D11)</f>
        <v>8330632.1199999992</v>
      </c>
      <c r="E13" s="3">
        <f>SUM(E9:E11)</f>
        <v>50115622.089999989</v>
      </c>
      <c r="F13" s="3">
        <v>100</v>
      </c>
      <c r="H13" s="3">
        <f>B13+D13</f>
        <v>50115622.089999989</v>
      </c>
    </row>
    <row r="16" spans="1:10">
      <c r="J16" s="89"/>
    </row>
    <row r="17" spans="1:10" ht="15.75">
      <c r="A17" s="4" t="s">
        <v>7</v>
      </c>
    </row>
    <row r="19" spans="1:10">
      <c r="B19" s="6" t="s">
        <v>8</v>
      </c>
      <c r="C19" s="6" t="s">
        <v>9</v>
      </c>
      <c r="D19" s="6" t="s">
        <v>10</v>
      </c>
      <c r="E19" s="10" t="s">
        <v>4</v>
      </c>
      <c r="F19" s="10" t="s">
        <v>18</v>
      </c>
    </row>
    <row r="20" spans="1:10">
      <c r="E20" s="11"/>
      <c r="F20" s="11"/>
    </row>
    <row r="21" spans="1:10">
      <c r="A21" s="8" t="s">
        <v>0</v>
      </c>
      <c r="B21" s="3">
        <f>E9</f>
        <v>15530060.665071603</v>
      </c>
      <c r="C21" s="3">
        <f>16279694.15+157005</f>
        <v>16436699.15</v>
      </c>
      <c r="D21" s="3">
        <f>26900000*0.65</f>
        <v>17485000</v>
      </c>
      <c r="E21" s="11">
        <f>SUM(B21:D21)</f>
        <v>49451759.815071605</v>
      </c>
      <c r="F21" s="3">
        <f>E21/E25%</f>
        <v>44.158478422871895</v>
      </c>
    </row>
    <row r="22" spans="1:10">
      <c r="E22" s="11"/>
    </row>
    <row r="23" spans="1:10">
      <c r="A23" s="8" t="s">
        <v>1</v>
      </c>
      <c r="B23" s="5">
        <f>E11</f>
        <v>34585561.424928389</v>
      </c>
      <c r="C23" s="5">
        <f>18357641.14+177048</f>
        <v>18534689.140000001</v>
      </c>
      <c r="D23" s="5">
        <f>26900000*0.35</f>
        <v>9415000</v>
      </c>
      <c r="E23" s="12">
        <f>SUM(B23:D23)</f>
        <v>62535250.56492839</v>
      </c>
      <c r="F23" s="5">
        <f>E23/E25%</f>
        <v>55.841521577128105</v>
      </c>
      <c r="H23" s="6" t="s">
        <v>5</v>
      </c>
    </row>
    <row r="24" spans="1:10">
      <c r="E24" s="11"/>
    </row>
    <row r="25" spans="1:10">
      <c r="B25" s="3">
        <f>SUM(B21:B23)</f>
        <v>50115622.089999989</v>
      </c>
      <c r="C25" s="3">
        <f>SUM(C21:C23)</f>
        <v>34971388.289999999</v>
      </c>
      <c r="D25" s="3">
        <f>SUM(D21:D24)</f>
        <v>26900000</v>
      </c>
      <c r="E25" s="11">
        <f>SUM(E21:E23)</f>
        <v>111987010.38</v>
      </c>
      <c r="F25" s="3">
        <v>100</v>
      </c>
      <c r="H25" s="3">
        <f>B25+C25+D25</f>
        <v>111987010.38</v>
      </c>
    </row>
    <row r="29" spans="1:10" ht="15.75">
      <c r="A29" s="4" t="s">
        <v>11</v>
      </c>
      <c r="J29" s="89"/>
    </row>
    <row r="31" spans="1:10">
      <c r="B31" s="6" t="s">
        <v>3</v>
      </c>
      <c r="C31" s="6" t="s">
        <v>2</v>
      </c>
      <c r="D31" s="6" t="s">
        <v>6</v>
      </c>
      <c r="E31" s="6" t="s">
        <v>4</v>
      </c>
      <c r="F31" s="10" t="s">
        <v>18</v>
      </c>
    </row>
    <row r="32" spans="1:10">
      <c r="F32" s="11"/>
    </row>
    <row r="33" spans="1:8">
      <c r="A33" s="8" t="s">
        <v>0</v>
      </c>
      <c r="B33" s="3">
        <v>2591771</v>
      </c>
      <c r="D33" s="3">
        <f>C34*0.1845</f>
        <v>108356.05296</v>
      </c>
      <c r="E33" s="3">
        <f>B33+D33</f>
        <v>2700127.05296</v>
      </c>
      <c r="F33" s="3">
        <f>E33/E37%</f>
        <v>21.375048558836756</v>
      </c>
    </row>
    <row r="34" spans="1:8">
      <c r="C34" s="3">
        <v>587295.68000000005</v>
      </c>
    </row>
    <row r="35" spans="1:8">
      <c r="A35" s="8" t="s">
        <v>1</v>
      </c>
      <c r="B35" s="5">
        <v>9453077.9700000007</v>
      </c>
      <c r="C35" s="5"/>
      <c r="D35" s="5">
        <f>C34*0.8155</f>
        <v>478939.62704000005</v>
      </c>
      <c r="E35" s="5">
        <f>B35+D35</f>
        <v>9932017.5970400013</v>
      </c>
      <c r="F35" s="5">
        <f>E35/E37%</f>
        <v>78.624951441163233</v>
      </c>
      <c r="H35" s="6" t="s">
        <v>5</v>
      </c>
    </row>
    <row r="37" spans="1:8">
      <c r="B37" s="3">
        <f>SUM(B33:B35)</f>
        <v>12044848.970000001</v>
      </c>
      <c r="C37" s="3">
        <f>SUM(C33:C35)</f>
        <v>587295.68000000005</v>
      </c>
      <c r="D37" s="3">
        <f>SUM(D33:D35)</f>
        <v>587295.68000000005</v>
      </c>
      <c r="E37" s="3">
        <f>SUM(E33:E35)</f>
        <v>12632144.650000002</v>
      </c>
      <c r="F37" s="3">
        <v>100</v>
      </c>
      <c r="H37" s="3">
        <f>B37+D37</f>
        <v>12632144.65</v>
      </c>
    </row>
    <row r="41" spans="1:8" ht="15.75">
      <c r="A41" s="4" t="s">
        <v>19</v>
      </c>
    </row>
    <row r="43" spans="1:8">
      <c r="B43" s="6" t="s">
        <v>12</v>
      </c>
      <c r="C43" s="6" t="s">
        <v>13</v>
      </c>
      <c r="D43" s="6"/>
      <c r="E43" s="6" t="s">
        <v>4</v>
      </c>
      <c r="F43" s="10" t="s">
        <v>18</v>
      </c>
    </row>
    <row r="44" spans="1:8">
      <c r="F44" s="11"/>
    </row>
    <row r="45" spans="1:8">
      <c r="A45" s="8" t="s">
        <v>0</v>
      </c>
      <c r="B45" s="3">
        <f>E33</f>
        <v>2700127.05296</v>
      </c>
      <c r="C45" s="3">
        <f>7395582.62-C70-E70</f>
        <v>1602967.9100000001</v>
      </c>
      <c r="E45" s="3">
        <f>SUM(B45+C45+D45)</f>
        <v>4303094.9629600001</v>
      </c>
      <c r="F45" s="3">
        <f>E45/E49%</f>
        <v>19.57194617200998</v>
      </c>
    </row>
    <row r="47" spans="1:8">
      <c r="A47" s="8" t="s">
        <v>1</v>
      </c>
      <c r="B47" s="5">
        <f>E35</f>
        <v>9932017.5970400013</v>
      </c>
      <c r="C47" s="5">
        <v>7750922.5800000001</v>
      </c>
      <c r="D47" s="5"/>
      <c r="E47" s="5">
        <f>SUM(B47:D47)</f>
        <v>17682940.177040003</v>
      </c>
      <c r="F47" s="5">
        <f>E47/E49%</f>
        <v>80.428053827990013</v>
      </c>
      <c r="H47" s="6" t="s">
        <v>5</v>
      </c>
    </row>
    <row r="49" spans="1:8">
      <c r="B49" s="3">
        <f>SUM(B45:B47)</f>
        <v>12632144.650000002</v>
      </c>
      <c r="C49" s="3">
        <f>SUM(C45:C48)</f>
        <v>9353890.4900000002</v>
      </c>
      <c r="E49" s="3">
        <f>SUM(E45:E47)</f>
        <v>21986035.140000004</v>
      </c>
      <c r="F49" s="3">
        <v>100</v>
      </c>
      <c r="H49" s="3">
        <f>B49+C49+D49</f>
        <v>21986035.140000001</v>
      </c>
    </row>
    <row r="54" spans="1:8" ht="15.75">
      <c r="A54" s="4" t="s">
        <v>16</v>
      </c>
    </row>
    <row r="56" spans="1:8">
      <c r="B56" s="6" t="s">
        <v>14</v>
      </c>
      <c r="C56" s="6" t="s">
        <v>12</v>
      </c>
      <c r="D56" s="6" t="s">
        <v>13</v>
      </c>
      <c r="E56" s="6" t="s">
        <v>4</v>
      </c>
      <c r="F56" s="10" t="s">
        <v>18</v>
      </c>
    </row>
    <row r="57" spans="1:8">
      <c r="F57" s="11"/>
    </row>
    <row r="58" spans="1:8" ht="15.75">
      <c r="A58" s="8" t="s">
        <v>0</v>
      </c>
      <c r="B58" s="3">
        <f>E21</f>
        <v>49451759.815071605</v>
      </c>
      <c r="C58" s="3">
        <f>E45-D45</f>
        <v>4303094.9629600001</v>
      </c>
      <c r="E58" s="7">
        <f>B58-C58</f>
        <v>45148664.852111608</v>
      </c>
      <c r="F58" s="3">
        <f>E58/E62%</f>
        <v>50.164639584978353</v>
      </c>
      <c r="H58" s="13" t="s">
        <v>5</v>
      </c>
    </row>
    <row r="59" spans="1:8" ht="15.75">
      <c r="E59" s="7"/>
      <c r="G59" s="8" t="s">
        <v>15</v>
      </c>
      <c r="H59" s="3">
        <f>E62</f>
        <v>90000975.239999995</v>
      </c>
    </row>
    <row r="60" spans="1:8" ht="15.75">
      <c r="A60" s="8" t="s">
        <v>1</v>
      </c>
      <c r="B60" s="5">
        <f>E23</f>
        <v>62535250.56492839</v>
      </c>
      <c r="C60" s="5">
        <f>E47</f>
        <v>17682940.177040003</v>
      </c>
      <c r="D60" s="5"/>
      <c r="E60" s="9">
        <f>B60-C60</f>
        <v>44852310.387888387</v>
      </c>
      <c r="F60" s="5">
        <f>E60/E62%</f>
        <v>49.83536041502164</v>
      </c>
      <c r="G60" s="101" t="s">
        <v>106</v>
      </c>
      <c r="H60" s="14">
        <f>Schema2012!D14</f>
        <v>900000</v>
      </c>
    </row>
    <row r="61" spans="1:8">
      <c r="G61" s="3" t="s">
        <v>112</v>
      </c>
      <c r="H61" s="14">
        <f>Schema2012!D18</f>
        <v>-1900000</v>
      </c>
    </row>
    <row r="62" spans="1:8">
      <c r="B62" s="3">
        <f>SUM(B58:B60)</f>
        <v>111987010.38</v>
      </c>
      <c r="C62" s="3">
        <f>SUM(C58:C60)</f>
        <v>21986035.140000004</v>
      </c>
      <c r="D62" s="3">
        <f>SUM(D58:D60)</f>
        <v>0</v>
      </c>
      <c r="E62" s="3">
        <f>SUM(E58:E60)</f>
        <v>90000975.239999995</v>
      </c>
      <c r="F62" s="3">
        <v>100</v>
      </c>
      <c r="G62" s="8" t="s">
        <v>22</v>
      </c>
      <c r="H62" s="14">
        <f>-(C70+E70)</f>
        <v>-5792614.71</v>
      </c>
    </row>
    <row r="63" spans="1:8">
      <c r="G63" s="101" t="s">
        <v>83</v>
      </c>
      <c r="H63" s="5">
        <v>1126973</v>
      </c>
    </row>
    <row r="64" spans="1:8">
      <c r="G64" s="8" t="s">
        <v>48</v>
      </c>
      <c r="H64" s="3">
        <f>H59+H60+H61+H62+H63</f>
        <v>84335333.530000001</v>
      </c>
    </row>
    <row r="66" spans="1:6" ht="15.75">
      <c r="A66" s="4" t="s">
        <v>23</v>
      </c>
    </row>
    <row r="68" spans="1:6">
      <c r="C68" s="6" t="s">
        <v>20</v>
      </c>
      <c r="E68" s="6" t="s">
        <v>21</v>
      </c>
      <c r="F68" s="6"/>
    </row>
    <row r="70" spans="1:6" ht="15.75">
      <c r="C70" s="7">
        <v>5271638.09</v>
      </c>
      <c r="D70" s="7"/>
      <c r="E70" s="7">
        <v>520976.62</v>
      </c>
    </row>
    <row r="74" spans="1:6" ht="15.75">
      <c r="A74" s="7"/>
    </row>
  </sheetData>
  <phoneticPr fontId="13" type="noConversion"/>
  <printOptions gridLines="1"/>
  <pageMargins left="0.78740157499999996" right="0.56999999999999995" top="0.984251969" bottom="0.984251969" header="0.5" footer="0.4921259845"/>
  <pageSetup paperSize="9" scale="85" orientation="portrait" r:id="rId1"/>
  <headerFooter alignWithMargins="0">
    <oddFooter>&amp;L66-K/&amp;D/Wü</oddFooter>
  </headerFooter>
  <rowBreaks count="1" manualBreakCount="1">
    <brk id="51" max="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H7" sqref="H7"/>
    </sheetView>
  </sheetViews>
  <sheetFormatPr baseColWidth="10" defaultRowHeight="15"/>
  <cols>
    <col min="3" max="3" width="8.6640625" customWidth="1"/>
    <col min="4" max="4" width="14.77734375" customWidth="1"/>
    <col min="5" max="5" width="5.77734375" customWidth="1"/>
    <col min="6" max="6" width="12" customWidth="1"/>
    <col min="7" max="7" width="14.88671875" customWidth="1"/>
    <col min="8" max="8" width="13" customWidth="1"/>
    <col min="9" max="9" width="14.88671875" customWidth="1"/>
  </cols>
  <sheetData>
    <row r="1" spans="1:9" ht="23.25">
      <c r="A1" s="103" t="s">
        <v>120</v>
      </c>
    </row>
    <row r="2" spans="1:9" ht="24" customHeight="1"/>
    <row r="3" spans="1:9" ht="15.75">
      <c r="C3" s="105"/>
      <c r="D3" s="102" t="s">
        <v>84</v>
      </c>
      <c r="F3" s="102" t="s">
        <v>85</v>
      </c>
      <c r="G3" s="102" t="s">
        <v>86</v>
      </c>
      <c r="H3" s="102" t="s">
        <v>2</v>
      </c>
    </row>
    <row r="4" spans="1:9">
      <c r="A4" t="s">
        <v>87</v>
      </c>
    </row>
    <row r="5" spans="1:9" ht="15.75">
      <c r="A5" t="s">
        <v>88</v>
      </c>
      <c r="C5" s="105"/>
      <c r="D5" s="3">
        <f>G5</f>
        <v>6636693.7699999996</v>
      </c>
      <c r="F5" s="3"/>
      <c r="G5" s="3">
        <v>6636693.7699999996</v>
      </c>
      <c r="H5" s="3"/>
    </row>
    <row r="6" spans="1:9">
      <c r="D6" s="3"/>
      <c r="F6" s="3"/>
      <c r="G6" s="3"/>
      <c r="H6" s="3"/>
    </row>
    <row r="7" spans="1:9">
      <c r="A7" t="s">
        <v>89</v>
      </c>
      <c r="D7" s="3">
        <f>F7+G7+H7</f>
        <v>2992010.4699999997</v>
      </c>
      <c r="F7" s="3">
        <v>1332330.06</v>
      </c>
      <c r="G7" s="3">
        <v>1133776.8999999999</v>
      </c>
      <c r="H7" s="3">
        <v>525903.51</v>
      </c>
    </row>
    <row r="8" spans="1:9">
      <c r="D8" s="3"/>
      <c r="F8" s="3"/>
      <c r="G8" s="3"/>
      <c r="H8" s="3"/>
    </row>
    <row r="9" spans="1:9">
      <c r="A9" t="s">
        <v>78</v>
      </c>
      <c r="D9" s="3">
        <f>F9+G9+H9</f>
        <v>2107512.98</v>
      </c>
      <c r="F9" s="3">
        <v>715389.48</v>
      </c>
      <c r="G9" s="3">
        <v>1379077</v>
      </c>
      <c r="H9" s="3">
        <v>13046.5</v>
      </c>
    </row>
    <row r="10" spans="1:9">
      <c r="D10" s="3"/>
      <c r="F10" s="3"/>
      <c r="G10" s="3"/>
      <c r="H10" s="3"/>
    </row>
    <row r="11" spans="1:9">
      <c r="A11" t="s">
        <v>90</v>
      </c>
      <c r="D11" s="5">
        <f>F11+G11+H11</f>
        <v>895927.43</v>
      </c>
      <c r="F11" s="5">
        <v>544051.46</v>
      </c>
      <c r="G11" s="5">
        <v>303530.3</v>
      </c>
      <c r="H11" s="5">
        <v>48345.67</v>
      </c>
    </row>
    <row r="12" spans="1:9">
      <c r="F12" s="3"/>
      <c r="G12" s="3"/>
      <c r="H12" s="3"/>
    </row>
    <row r="13" spans="1:9" ht="15.75">
      <c r="A13" s="104" t="s">
        <v>91</v>
      </c>
      <c r="B13" s="104"/>
      <c r="C13" s="104"/>
      <c r="D13" s="7">
        <f>SUM(D5:D12)</f>
        <v>12632144.649999999</v>
      </c>
      <c r="F13" s="7">
        <f>SUM(F5:F12)</f>
        <v>2591771</v>
      </c>
      <c r="G13" s="7">
        <f>SUM(G5:G12)</f>
        <v>9453077.9700000007</v>
      </c>
      <c r="H13" s="7">
        <f>SUM(H7:H12)</f>
        <v>587295.68000000005</v>
      </c>
      <c r="I13" s="7">
        <f>SUM(F13:H13)</f>
        <v>12632144.65</v>
      </c>
    </row>
    <row r="14" spans="1:9" ht="15.75">
      <c r="D14" s="3"/>
      <c r="I14" s="105" t="s">
        <v>92</v>
      </c>
    </row>
    <row r="15" spans="1:9" ht="28.5" customHeight="1">
      <c r="D15" s="3"/>
    </row>
    <row r="16" spans="1:9" ht="15.75">
      <c r="C16" s="105"/>
      <c r="D16" s="102"/>
      <c r="F16" s="102"/>
      <c r="G16" s="102"/>
      <c r="H16" s="102"/>
    </row>
    <row r="18" spans="1:9" ht="15.75">
      <c r="C18" s="105"/>
      <c r="D18" s="3"/>
      <c r="F18" s="3"/>
      <c r="G18" s="3"/>
      <c r="H18" s="3"/>
    </row>
    <row r="19" spans="1:9">
      <c r="D19" s="3"/>
      <c r="F19" s="3"/>
      <c r="G19" s="3"/>
      <c r="H19" s="3"/>
    </row>
    <row r="20" spans="1:9">
      <c r="D20" s="3"/>
      <c r="F20" s="3"/>
      <c r="G20" s="3"/>
      <c r="H20" s="3"/>
    </row>
    <row r="21" spans="1:9">
      <c r="D21" s="3"/>
      <c r="F21" s="3"/>
      <c r="G21" s="3"/>
      <c r="H21" s="3"/>
    </row>
    <row r="22" spans="1:9">
      <c r="D22" s="3"/>
      <c r="F22" s="3"/>
      <c r="G22" s="3"/>
      <c r="H22" s="3"/>
    </row>
    <row r="23" spans="1:9">
      <c r="D23" s="3"/>
      <c r="F23" s="3"/>
      <c r="G23" s="3"/>
      <c r="H23" s="3"/>
    </row>
    <row r="24" spans="1:9" ht="15.75">
      <c r="A24" s="104"/>
      <c r="B24" s="104"/>
      <c r="C24" s="104"/>
      <c r="D24" s="7"/>
      <c r="F24" s="7"/>
      <c r="G24" s="7"/>
      <c r="H24" s="7"/>
      <c r="I24" s="7"/>
    </row>
    <row r="25" spans="1:9" ht="15.75">
      <c r="D25" s="3"/>
      <c r="I25" s="105"/>
    </row>
  </sheetData>
  <phoneticPr fontId="1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E34" sqref="E34"/>
    </sheetView>
  </sheetViews>
  <sheetFormatPr baseColWidth="10" defaultRowHeight="15"/>
  <cols>
    <col min="1" max="1" width="19.6640625" customWidth="1"/>
    <col min="2" max="2" width="17.21875" customWidth="1"/>
    <col min="3" max="3" width="14.77734375" customWidth="1"/>
    <col min="4" max="4" width="16.44140625" customWidth="1"/>
    <col min="5" max="5" width="17.33203125" customWidth="1"/>
    <col min="6" max="6" width="12.6640625" customWidth="1"/>
  </cols>
  <sheetData>
    <row r="1" spans="1:7" ht="23.25">
      <c r="A1" s="103" t="s">
        <v>163</v>
      </c>
    </row>
    <row r="4" spans="1:7" ht="15.75">
      <c r="B4" s="102" t="s">
        <v>95</v>
      </c>
      <c r="C4" s="102" t="s">
        <v>2</v>
      </c>
      <c r="D4" s="102" t="s">
        <v>38</v>
      </c>
      <c r="E4" s="102" t="s">
        <v>91</v>
      </c>
      <c r="F4" s="102" t="s">
        <v>96</v>
      </c>
      <c r="G4" s="105" t="s">
        <v>107</v>
      </c>
    </row>
    <row r="6" spans="1:7" ht="15.75">
      <c r="A6" s="102" t="s">
        <v>97</v>
      </c>
      <c r="B6" s="3">
        <v>489560968</v>
      </c>
      <c r="C6" s="3">
        <f>(B6/B10)*C10</f>
        <v>3078017.0827311357</v>
      </c>
      <c r="D6" s="3">
        <v>149527003</v>
      </c>
      <c r="E6" s="3">
        <f>B6+C6-D6</f>
        <v>343111982.08273113</v>
      </c>
      <c r="F6" s="89">
        <f>E6/E10</f>
        <v>0.6456033677957721</v>
      </c>
      <c r="G6" s="113">
        <f>F6/F10</f>
        <v>0.6456033677957721</v>
      </c>
    </row>
    <row r="7" spans="1:7" ht="15.75">
      <c r="A7" s="102"/>
      <c r="B7" s="3"/>
      <c r="C7" s="3"/>
      <c r="D7" s="3"/>
      <c r="E7" s="3"/>
      <c r="F7" s="89"/>
      <c r="G7" s="106"/>
    </row>
    <row r="8" spans="1:7" ht="15.75">
      <c r="A8" s="102" t="s">
        <v>86</v>
      </c>
      <c r="B8" s="5">
        <v>243023510</v>
      </c>
      <c r="C8" s="5">
        <f>(B8/B10)*C10</f>
        <v>1527961.9172688641</v>
      </c>
      <c r="D8" s="5">
        <v>56204048.43</v>
      </c>
      <c r="E8" s="5">
        <f>B8+C8-D8</f>
        <v>188347423.48726887</v>
      </c>
      <c r="F8" s="117">
        <f>E8/E10</f>
        <v>0.3543966322042279</v>
      </c>
      <c r="G8" s="114">
        <f>F8/F10</f>
        <v>0.3543966322042279</v>
      </c>
    </row>
    <row r="9" spans="1:7">
      <c r="B9" s="3"/>
      <c r="C9" s="3"/>
      <c r="D9" s="3"/>
      <c r="E9" s="3"/>
      <c r="F9" s="89"/>
    </row>
    <row r="10" spans="1:7">
      <c r="B10" s="3">
        <f>SUM(B6:B9)</f>
        <v>732584478</v>
      </c>
      <c r="C10" s="3">
        <v>4605979</v>
      </c>
      <c r="D10" s="3">
        <f>SUM(D6:D9)</f>
        <v>205731051.43000001</v>
      </c>
      <c r="E10" s="3">
        <f>SUM(E6:E9)</f>
        <v>531459405.56999999</v>
      </c>
      <c r="F10" s="89">
        <f>SUM(F6:F9)</f>
        <v>1</v>
      </c>
      <c r="G10" s="112">
        <f>SUM(G6:G9)</f>
        <v>1</v>
      </c>
    </row>
    <row r="11" spans="1:7">
      <c r="B11" s="3"/>
      <c r="C11" s="3"/>
      <c r="D11" s="3"/>
      <c r="E11" s="3"/>
    </row>
    <row r="13" spans="1:7">
      <c r="B13" s="3">
        <f>B10+C10</f>
        <v>737190457</v>
      </c>
    </row>
    <row r="20" spans="2:8" ht="15.75">
      <c r="C20" s="102"/>
      <c r="D20" s="102"/>
      <c r="E20" s="102"/>
      <c r="F20" s="102"/>
      <c r="G20" s="105"/>
      <c r="H20" s="105"/>
    </row>
    <row r="22" spans="2:8" ht="15.75">
      <c r="B22" s="102"/>
      <c r="C22" s="3"/>
      <c r="D22" s="3"/>
      <c r="E22" s="3"/>
      <c r="F22" s="3"/>
      <c r="G22" s="106"/>
      <c r="H22" s="113"/>
    </row>
    <row r="23" spans="2:8" ht="15.75">
      <c r="B23" s="102"/>
      <c r="C23" s="3"/>
      <c r="D23" s="3"/>
      <c r="E23" s="3"/>
      <c r="F23" s="3"/>
      <c r="G23" s="106"/>
      <c r="H23" s="106"/>
    </row>
    <row r="24" spans="2:8" ht="15.75">
      <c r="B24" s="102"/>
      <c r="C24" s="14"/>
      <c r="D24" s="14"/>
      <c r="E24" s="14"/>
      <c r="F24" s="14"/>
      <c r="G24" s="115"/>
      <c r="H24" s="116"/>
    </row>
    <row r="25" spans="2:8">
      <c r="C25" s="3"/>
      <c r="D25" s="3"/>
      <c r="E25" s="3"/>
      <c r="F25" s="3"/>
      <c r="G25" s="89"/>
    </row>
    <row r="26" spans="2:8">
      <c r="C26" s="3"/>
      <c r="D26" s="3"/>
      <c r="E26" s="3"/>
      <c r="F26" s="3"/>
      <c r="G26" s="89"/>
      <c r="H26" s="112"/>
    </row>
    <row r="27" spans="2:8">
      <c r="C27" s="3"/>
      <c r="D27" s="3"/>
      <c r="E27" s="3"/>
      <c r="F27" s="3"/>
    </row>
    <row r="29" spans="2:8">
      <c r="C29" s="3"/>
    </row>
  </sheetData>
  <phoneticPr fontId="13" type="noConversion"/>
  <pageMargins left="0.37" right="0.579999999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baseColWidth="10" defaultRowHeight="15"/>
  <cols>
    <col min="2" max="2" width="16.44140625" customWidth="1"/>
    <col min="3" max="3" width="13.33203125" customWidth="1"/>
    <col min="4" max="4" width="12.6640625" customWidth="1"/>
    <col min="5" max="5" width="13" customWidth="1"/>
    <col min="6" max="6" width="13.44140625" customWidth="1"/>
    <col min="7" max="7" width="13.77734375" customWidth="1"/>
  </cols>
  <sheetData>
    <row r="1" spans="1:7" ht="20.25">
      <c r="A1" s="110" t="s">
        <v>77</v>
      </c>
    </row>
    <row r="2" spans="1:7" ht="20.25">
      <c r="A2" s="110"/>
    </row>
    <row r="3" spans="1:7" ht="15.75">
      <c r="A3" s="104" t="s">
        <v>99</v>
      </c>
      <c r="B3" s="104"/>
      <c r="C3" s="104"/>
      <c r="D3" s="105" t="s">
        <v>100</v>
      </c>
      <c r="E3" s="105" t="s">
        <v>101</v>
      </c>
      <c r="F3" s="105" t="s">
        <v>105</v>
      </c>
      <c r="G3" s="105" t="s">
        <v>91</v>
      </c>
    </row>
    <row r="4" spans="1:7">
      <c r="D4" s="3"/>
    </row>
    <row r="5" spans="1:7">
      <c r="A5" t="s">
        <v>102</v>
      </c>
      <c r="C5" s="3">
        <v>598821</v>
      </c>
      <c r="D5" s="3">
        <v>598821</v>
      </c>
      <c r="E5" s="3"/>
      <c r="F5" s="3"/>
      <c r="G5" s="3">
        <f>SUM(D5:F5)</f>
        <v>598821</v>
      </c>
    </row>
    <row r="6" spans="1:7">
      <c r="C6" s="3"/>
      <c r="D6" s="3"/>
      <c r="E6" s="3"/>
      <c r="F6" s="3"/>
    </row>
    <row r="7" spans="1:7">
      <c r="A7" t="s">
        <v>103</v>
      </c>
      <c r="C7" s="3">
        <v>317600</v>
      </c>
      <c r="D7" s="3"/>
      <c r="E7" s="3">
        <v>317600</v>
      </c>
      <c r="F7" s="3"/>
      <c r="G7" s="3">
        <f>SUM(E7:F7)</f>
        <v>317600</v>
      </c>
    </row>
    <row r="8" spans="1:7">
      <c r="C8" s="3"/>
      <c r="D8" s="3"/>
      <c r="E8" s="3"/>
      <c r="F8" s="3"/>
    </row>
    <row r="9" spans="1:7">
      <c r="A9" t="s">
        <v>104</v>
      </c>
      <c r="C9" s="3">
        <v>210551.6</v>
      </c>
      <c r="D9" s="3"/>
      <c r="E9" s="3">
        <v>149491.6</v>
      </c>
      <c r="F9" s="3">
        <v>61060</v>
      </c>
      <c r="G9" s="3">
        <f>SUM(E9:F9)</f>
        <v>210551.6</v>
      </c>
    </row>
    <row r="10" spans="1:7">
      <c r="A10" t="s">
        <v>98</v>
      </c>
      <c r="D10" s="3"/>
      <c r="E10" s="3"/>
      <c r="F10" s="3"/>
    </row>
    <row r="11" spans="1:7">
      <c r="C11" s="3"/>
      <c r="D11" s="3"/>
      <c r="E11" s="3"/>
      <c r="F11" s="3"/>
    </row>
    <row r="12" spans="1:7" ht="15.75">
      <c r="A12" s="104" t="s">
        <v>91</v>
      </c>
      <c r="B12" s="104"/>
      <c r="C12" s="7">
        <f>SUM(C5:C11)</f>
        <v>1126972.6000000001</v>
      </c>
      <c r="D12" s="7">
        <f>SUM(D5:D11)</f>
        <v>598821</v>
      </c>
      <c r="E12" s="7">
        <f>SUM(E5:E11)</f>
        <v>467091.6</v>
      </c>
      <c r="F12" s="7">
        <f>SUM(F5:F11)</f>
        <v>61060</v>
      </c>
      <c r="G12" s="7">
        <f>SUM(G5:G11)</f>
        <v>1126972.6000000001</v>
      </c>
    </row>
  </sheetData>
  <phoneticPr fontId="1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topLeftCell="A43" zoomScaleNormal="100" workbookViewId="0">
      <selection activeCell="G74" sqref="G74"/>
    </sheetView>
  </sheetViews>
  <sheetFormatPr baseColWidth="10" defaultColWidth="8.88671875" defaultRowHeight="12.75"/>
  <cols>
    <col min="1" max="1" width="15.88671875" style="131" customWidth="1"/>
    <col min="2" max="2" width="9.88671875" style="131" customWidth="1"/>
    <col min="3" max="3" width="2.33203125" style="131" customWidth="1"/>
    <col min="4" max="4" width="43.5546875" style="131" customWidth="1"/>
    <col min="5" max="5" width="9.44140625" style="131" bestFit="1" customWidth="1"/>
    <col min="6" max="6" width="2.109375" style="131" customWidth="1"/>
    <col min="7" max="7" width="14.21875" style="131" customWidth="1"/>
    <col min="8" max="8" width="6.77734375" style="131" customWidth="1"/>
    <col min="9" max="9" width="8.88671875" style="131" customWidth="1"/>
    <col min="10" max="10" width="9" style="131" bestFit="1" customWidth="1"/>
    <col min="11" max="16384" width="8.88671875" style="131"/>
  </cols>
  <sheetData>
    <row r="1" spans="1:8">
      <c r="G1" s="132" t="s">
        <v>126</v>
      </c>
    </row>
    <row r="2" spans="1:8" ht="19.5" customHeight="1"/>
    <row r="3" spans="1:8" s="133" customFormat="1" ht="16.5">
      <c r="A3" s="216" t="s">
        <v>161</v>
      </c>
      <c r="B3" s="216"/>
      <c r="C3" s="216"/>
      <c r="D3" s="216"/>
      <c r="E3" s="216"/>
      <c r="F3" s="216"/>
      <c r="G3" s="216"/>
      <c r="H3" s="216"/>
    </row>
    <row r="4" spans="1:8" s="133" customFormat="1" ht="9.75" customHeight="1">
      <c r="A4" s="134"/>
      <c r="B4" s="134"/>
      <c r="C4" s="134"/>
      <c r="D4" s="134"/>
      <c r="E4" s="134"/>
      <c r="F4" s="134"/>
      <c r="G4" s="134"/>
      <c r="H4" s="134"/>
    </row>
    <row r="5" spans="1:8" ht="7.5" customHeight="1"/>
    <row r="7" spans="1:8" ht="14.25">
      <c r="A7" s="135"/>
      <c r="B7" s="135"/>
      <c r="C7" s="135"/>
      <c r="D7" s="135"/>
      <c r="E7" s="136" t="s">
        <v>127</v>
      </c>
      <c r="F7" s="135"/>
      <c r="G7" s="136" t="s">
        <v>127</v>
      </c>
    </row>
    <row r="8" spans="1:8" ht="15">
      <c r="A8" s="137" t="s">
        <v>14</v>
      </c>
      <c r="B8" s="138"/>
      <c r="C8" s="138"/>
      <c r="D8" s="138"/>
      <c r="E8" s="135"/>
      <c r="F8" s="135"/>
      <c r="G8" s="135"/>
    </row>
    <row r="9" spans="1:8" ht="14.25">
      <c r="A9" s="135" t="s">
        <v>128</v>
      </c>
      <c r="B9" s="135"/>
      <c r="C9" s="135"/>
      <c r="D9" s="135"/>
      <c r="E9" s="139">
        <v>20190948.32</v>
      </c>
      <c r="F9" s="139"/>
      <c r="G9" s="135"/>
    </row>
    <row r="10" spans="1:8" ht="14.25">
      <c r="A10" s="135" t="s">
        <v>129</v>
      </c>
      <c r="B10" s="135"/>
      <c r="C10" s="135"/>
      <c r="D10" s="135"/>
      <c r="E10" s="139">
        <v>19333401.149999999</v>
      </c>
      <c r="F10" s="139"/>
      <c r="G10" s="135"/>
    </row>
    <row r="11" spans="1:8" ht="14.25">
      <c r="A11" s="135" t="s">
        <v>130</v>
      </c>
      <c r="B11" s="135"/>
      <c r="C11" s="135"/>
      <c r="D11" s="135"/>
      <c r="E11" s="139">
        <v>34971388.289999999</v>
      </c>
      <c r="F11" s="139"/>
      <c r="G11" s="135"/>
    </row>
    <row r="12" spans="1:8" ht="14.25">
      <c r="A12" s="135" t="s">
        <v>131</v>
      </c>
      <c r="B12" s="135"/>
      <c r="C12" s="135"/>
      <c r="D12" s="135"/>
      <c r="E12" s="139">
        <v>11711334.26</v>
      </c>
      <c r="F12" s="139"/>
      <c r="G12" s="135"/>
    </row>
    <row r="13" spans="1:8" ht="14.25">
      <c r="A13" s="135" t="s">
        <v>132</v>
      </c>
      <c r="B13" s="135"/>
      <c r="C13" s="135"/>
      <c r="D13" s="135"/>
      <c r="E13" s="139">
        <v>26900000</v>
      </c>
      <c r="F13" s="139"/>
      <c r="G13" s="135"/>
    </row>
    <row r="14" spans="1:8" ht="14.25">
      <c r="A14" s="135" t="s">
        <v>133</v>
      </c>
      <c r="B14" s="135"/>
      <c r="C14" s="135"/>
      <c r="D14" s="135"/>
      <c r="E14" s="140">
        <v>6911.36</v>
      </c>
      <c r="F14" s="139"/>
      <c r="G14" s="135"/>
    </row>
    <row r="15" spans="1:8" ht="14.25">
      <c r="A15" s="141" t="s">
        <v>134</v>
      </c>
      <c r="E15" s="142">
        <v>900000</v>
      </c>
      <c r="F15" s="140"/>
      <c r="G15" s="139">
        <f>SUM(E9:E15)</f>
        <v>114013983.38</v>
      </c>
    </row>
    <row r="16" spans="1:8" ht="14.25">
      <c r="A16" s="135"/>
      <c r="B16" s="135"/>
      <c r="C16" s="135"/>
      <c r="D16" s="135"/>
      <c r="E16" s="140"/>
      <c r="F16" s="140"/>
      <c r="G16" s="139"/>
    </row>
    <row r="17" spans="1:8" ht="15">
      <c r="A17" s="137" t="s">
        <v>135</v>
      </c>
      <c r="B17" s="138"/>
      <c r="C17" s="138"/>
      <c r="D17" s="138"/>
      <c r="E17" s="135"/>
      <c r="F17" s="135"/>
      <c r="G17" s="135"/>
    </row>
    <row r="18" spans="1:8" ht="14.25">
      <c r="A18" s="135" t="s">
        <v>13</v>
      </c>
      <c r="B18" s="135"/>
      <c r="C18" s="135"/>
      <c r="D18" s="135"/>
      <c r="E18" s="139">
        <v>15146505.199999999</v>
      </c>
      <c r="F18" s="139"/>
      <c r="G18" s="135"/>
    </row>
    <row r="19" spans="1:8" ht="14.25">
      <c r="A19" s="135" t="s">
        <v>136</v>
      </c>
      <c r="B19" s="135"/>
      <c r="C19" s="135"/>
      <c r="D19" s="135"/>
      <c r="E19" s="139">
        <v>1900000</v>
      </c>
      <c r="F19" s="139"/>
      <c r="G19" s="135"/>
    </row>
    <row r="20" spans="1:8" ht="14.25">
      <c r="A20" s="135" t="s">
        <v>137</v>
      </c>
      <c r="B20" s="135"/>
      <c r="C20" s="135"/>
      <c r="D20" s="135"/>
      <c r="E20" s="139">
        <v>6636693.7699999996</v>
      </c>
      <c r="F20" s="139"/>
      <c r="G20" s="135"/>
    </row>
    <row r="21" spans="1:8" ht="14.25">
      <c r="A21" s="135" t="s">
        <v>78</v>
      </c>
      <c r="B21" s="135"/>
      <c r="C21" s="135"/>
      <c r="D21" s="135"/>
      <c r="E21" s="139">
        <v>2107512.98</v>
      </c>
      <c r="F21" s="139"/>
      <c r="G21" s="135"/>
    </row>
    <row r="22" spans="1:8" ht="14.25">
      <c r="A22" s="135" t="s">
        <v>138</v>
      </c>
      <c r="B22" s="135"/>
      <c r="C22" s="135"/>
      <c r="D22" s="135"/>
      <c r="E22" s="143">
        <v>3887937.9</v>
      </c>
      <c r="F22" s="143"/>
      <c r="G22" s="143">
        <f>SUM(E18:E22)</f>
        <v>29678649.849999998</v>
      </c>
    </row>
    <row r="23" spans="1:8" ht="15">
      <c r="A23" s="137" t="s">
        <v>139</v>
      </c>
      <c r="B23" s="138"/>
      <c r="C23" s="138"/>
      <c r="D23" s="138"/>
      <c r="E23" s="135"/>
      <c r="F23" s="135"/>
      <c r="G23" s="139">
        <f>G15-G22</f>
        <v>84335333.530000001</v>
      </c>
    </row>
    <row r="24" spans="1:8" ht="14.25">
      <c r="A24" s="135"/>
      <c r="B24" s="135"/>
      <c r="C24" s="135"/>
      <c r="D24" s="135"/>
      <c r="E24" s="135"/>
      <c r="F24" s="135"/>
      <c r="G24" s="135"/>
    </row>
    <row r="25" spans="1:8" ht="14.25" customHeight="1"/>
    <row r="26" spans="1:8" ht="15">
      <c r="A26" s="137" t="s">
        <v>140</v>
      </c>
      <c r="B26" s="137"/>
      <c r="C26" s="137"/>
      <c r="D26" s="137"/>
      <c r="E26" s="135"/>
      <c r="F26" s="135"/>
      <c r="G26" s="135"/>
      <c r="H26" s="135"/>
    </row>
    <row r="27" spans="1:8" ht="14.25" customHeight="1">
      <c r="A27" s="137"/>
      <c r="B27" s="137"/>
      <c r="C27" s="137"/>
      <c r="D27" s="137"/>
      <c r="E27" s="135"/>
      <c r="F27" s="135"/>
      <c r="G27" s="135"/>
      <c r="H27" s="135"/>
    </row>
    <row r="28" spans="1:8" ht="14.25" customHeight="1">
      <c r="A28" s="135" t="s">
        <v>141</v>
      </c>
      <c r="B28" s="137"/>
      <c r="C28" s="137"/>
      <c r="D28" s="137"/>
      <c r="E28" s="135"/>
      <c r="F28" s="135"/>
      <c r="G28" s="139">
        <v>57731218</v>
      </c>
      <c r="H28" s="135"/>
    </row>
    <row r="29" spans="1:8" ht="14.25" customHeight="1">
      <c r="A29" s="135" t="s">
        <v>142</v>
      </c>
      <c r="B29" s="137"/>
      <c r="C29" s="137"/>
      <c r="D29" s="137"/>
      <c r="E29" s="135"/>
      <c r="F29" s="135"/>
      <c r="G29" s="139">
        <v>18276088</v>
      </c>
      <c r="H29" s="135"/>
    </row>
    <row r="30" spans="1:8" ht="14.25" customHeight="1">
      <c r="A30" s="135" t="s">
        <v>143</v>
      </c>
      <c r="B30" s="137"/>
      <c r="C30" s="137"/>
      <c r="D30" s="137"/>
      <c r="E30" s="135"/>
      <c r="F30" s="135"/>
      <c r="G30" s="143">
        <v>8328028</v>
      </c>
      <c r="H30" s="135"/>
    </row>
    <row r="31" spans="1:8" ht="10.5" customHeight="1">
      <c r="A31" s="135"/>
      <c r="B31" s="135"/>
      <c r="C31" s="135"/>
      <c r="D31" s="135"/>
      <c r="E31" s="135"/>
      <c r="F31" s="135"/>
      <c r="G31" s="139"/>
      <c r="H31" s="135"/>
    </row>
    <row r="32" spans="1:8" ht="14.25" customHeight="1" thickBot="1">
      <c r="A32" s="135" t="s">
        <v>144</v>
      </c>
      <c r="B32" s="135"/>
      <c r="C32" s="135"/>
      <c r="D32" s="135"/>
      <c r="E32" s="135"/>
      <c r="F32" s="135"/>
      <c r="G32" s="144">
        <f>SUM(G28:G31)</f>
        <v>84335334</v>
      </c>
      <c r="H32" s="135"/>
    </row>
    <row r="33" spans="1:8" ht="14.25" customHeight="1" thickTop="1">
      <c r="A33" s="145"/>
      <c r="B33" s="145"/>
      <c r="C33" s="145"/>
      <c r="D33" s="146"/>
      <c r="E33" s="146"/>
      <c r="F33" s="146"/>
      <c r="G33" s="140"/>
      <c r="H33" s="146"/>
    </row>
    <row r="34" spans="1:8" ht="10.5" customHeight="1">
      <c r="A34" s="145"/>
      <c r="B34" s="145"/>
      <c r="C34" s="145"/>
      <c r="D34" s="146"/>
      <c r="E34" s="146"/>
      <c r="F34" s="146"/>
      <c r="G34" s="140"/>
      <c r="H34" s="146"/>
    </row>
    <row r="35" spans="1:8" ht="10.5" customHeight="1">
      <c r="A35" s="146"/>
      <c r="B35" s="147"/>
      <c r="C35" s="146"/>
      <c r="D35" s="146"/>
      <c r="E35" s="147"/>
      <c r="F35" s="146"/>
      <c r="G35" s="140"/>
      <c r="H35" s="147"/>
    </row>
    <row r="36" spans="1:8" ht="14.25" customHeight="1">
      <c r="A36" s="148" t="s">
        <v>145</v>
      </c>
      <c r="B36" s="146"/>
      <c r="C36" s="146"/>
      <c r="D36" s="146"/>
      <c r="E36" s="146"/>
      <c r="F36" s="146"/>
      <c r="G36" s="140"/>
      <c r="H36" s="146"/>
    </row>
    <row r="37" spans="1:8" ht="14.25" customHeight="1">
      <c r="B37" s="149"/>
      <c r="C37" s="149"/>
      <c r="D37" s="146"/>
      <c r="E37" s="150" t="s">
        <v>146</v>
      </c>
      <c r="F37" s="143"/>
      <c r="G37" s="150" t="s">
        <v>147</v>
      </c>
      <c r="H37" s="140"/>
    </row>
    <row r="38" spans="1:8" ht="10.5" customHeight="1">
      <c r="B38" s="140"/>
      <c r="C38" s="140"/>
      <c r="D38" s="146"/>
      <c r="E38" s="140"/>
      <c r="F38" s="140"/>
      <c r="G38" s="140"/>
      <c r="H38" s="140"/>
    </row>
    <row r="39" spans="1:8" ht="14.25" customHeight="1">
      <c r="A39" s="151" t="s">
        <v>148</v>
      </c>
      <c r="B39" s="140"/>
      <c r="C39" s="140"/>
      <c r="D39" s="146"/>
      <c r="E39" s="140">
        <v>35765001</v>
      </c>
      <c r="F39" s="140"/>
      <c r="G39" s="152">
        <v>1</v>
      </c>
      <c r="H39" s="140"/>
    </row>
    <row r="40" spans="1:8" ht="14.25" customHeight="1">
      <c r="A40" s="146"/>
      <c r="B40" s="140"/>
      <c r="C40" s="140"/>
      <c r="D40" s="146"/>
      <c r="E40" s="140"/>
      <c r="F40" s="140"/>
      <c r="G40" s="140"/>
      <c r="H40" s="140"/>
    </row>
    <row r="41" spans="1:8" ht="14.25" customHeight="1">
      <c r="A41" s="146"/>
      <c r="B41" s="149"/>
      <c r="C41" s="149"/>
      <c r="D41" s="146"/>
      <c r="E41" s="140"/>
      <c r="F41" s="140"/>
      <c r="G41" s="140"/>
      <c r="H41" s="140"/>
    </row>
    <row r="42" spans="1:8" ht="14.25" customHeight="1">
      <c r="A42" s="148" t="s">
        <v>149</v>
      </c>
      <c r="B42" s="146"/>
      <c r="C42" s="146"/>
      <c r="D42" s="146"/>
      <c r="E42" s="140"/>
      <c r="F42" s="140"/>
      <c r="G42" s="140"/>
      <c r="H42" s="140"/>
    </row>
    <row r="43" spans="1:8" ht="14.25" customHeight="1">
      <c r="A43" s="146"/>
      <c r="B43" s="146"/>
      <c r="C43" s="146"/>
      <c r="D43" s="146"/>
      <c r="E43" s="150" t="s">
        <v>150</v>
      </c>
      <c r="F43" s="150"/>
      <c r="G43" s="150" t="s">
        <v>147</v>
      </c>
      <c r="H43" s="146"/>
    </row>
    <row r="44" spans="1:8" ht="10.5" customHeight="1">
      <c r="A44" s="146"/>
      <c r="B44" s="140"/>
      <c r="C44" s="140"/>
      <c r="D44" s="146"/>
      <c r="E44" s="140"/>
      <c r="F44" s="140"/>
      <c r="G44" s="140"/>
      <c r="H44" s="140"/>
    </row>
    <row r="45" spans="1:8" ht="14.25" customHeight="1">
      <c r="A45" s="146" t="s">
        <v>66</v>
      </c>
      <c r="B45" s="153"/>
      <c r="C45" s="153"/>
      <c r="D45" s="153"/>
      <c r="E45" s="154">
        <v>31250733</v>
      </c>
      <c r="F45" s="155"/>
      <c r="G45" s="156">
        <f>E45/(E45+E46)</f>
        <v>0.70574519117635504</v>
      </c>
      <c r="H45" s="155"/>
    </row>
    <row r="46" spans="1:8" ht="14.25" customHeight="1">
      <c r="A46" s="146" t="s">
        <v>67</v>
      </c>
      <c r="B46" s="153"/>
      <c r="C46" s="153"/>
      <c r="D46" s="157"/>
      <c r="E46" s="142">
        <v>13029743</v>
      </c>
      <c r="F46" s="158"/>
      <c r="G46" s="159">
        <f>E46/(E46+E45)</f>
        <v>0.29425480882364496</v>
      </c>
      <c r="H46" s="155"/>
    </row>
    <row r="47" spans="1:8" ht="10.5" customHeight="1">
      <c r="A47" s="153"/>
      <c r="B47" s="153"/>
      <c r="C47" s="153"/>
      <c r="D47" s="153"/>
      <c r="E47" s="155"/>
      <c r="F47" s="155"/>
      <c r="G47" s="160"/>
      <c r="H47" s="155"/>
    </row>
    <row r="48" spans="1:8" ht="14.25" customHeight="1" thickBot="1">
      <c r="A48" s="161" t="s">
        <v>91</v>
      </c>
      <c r="B48" s="145"/>
      <c r="C48" s="145"/>
      <c r="D48" s="162"/>
      <c r="E48" s="144">
        <f>SUM(E45:E47)</f>
        <v>44280476</v>
      </c>
      <c r="F48" s="163"/>
      <c r="G48" s="164">
        <f>SUM(G45:G47)</f>
        <v>1</v>
      </c>
      <c r="H48" s="165"/>
    </row>
    <row r="49" spans="1:8" ht="14.25" customHeight="1" thickTop="1">
      <c r="A49" s="166"/>
      <c r="B49" s="157"/>
      <c r="C49" s="133"/>
      <c r="D49" s="166"/>
      <c r="E49" s="157"/>
      <c r="F49" s="133"/>
      <c r="G49" s="167"/>
      <c r="H49" s="168"/>
    </row>
    <row r="50" spans="1:8" ht="10.5" customHeight="1">
      <c r="A50" s="166"/>
      <c r="B50" s="157"/>
      <c r="C50" s="133"/>
      <c r="D50" s="166"/>
      <c r="E50" s="157"/>
      <c r="F50" s="133"/>
      <c r="G50" s="167"/>
      <c r="H50" s="168"/>
    </row>
    <row r="51" spans="1:8" ht="11.25" customHeight="1">
      <c r="A51" s="166"/>
      <c r="B51" s="157"/>
      <c r="C51" s="133"/>
      <c r="D51" s="166"/>
      <c r="E51" s="157"/>
      <c r="F51" s="133"/>
      <c r="G51" s="167"/>
      <c r="H51" s="168"/>
    </row>
    <row r="52" spans="1:8" ht="14.25" customHeight="1">
      <c r="A52" s="169" t="s">
        <v>151</v>
      </c>
      <c r="B52" s="170"/>
      <c r="C52" s="133"/>
      <c r="D52" s="166"/>
      <c r="E52" s="170"/>
      <c r="F52" s="133"/>
      <c r="G52" s="167"/>
      <c r="H52" s="168"/>
    </row>
    <row r="53" spans="1:8" ht="12" customHeight="1">
      <c r="A53" s="166"/>
      <c r="B53" s="157"/>
      <c r="C53" s="133"/>
      <c r="D53" s="166"/>
      <c r="E53" s="157"/>
      <c r="F53" s="133"/>
      <c r="G53" s="171" t="s">
        <v>152</v>
      </c>
      <c r="H53" s="168"/>
    </row>
    <row r="54" spans="1:8" ht="10.5" customHeight="1">
      <c r="B54" s="172"/>
      <c r="C54" s="173"/>
      <c r="D54" s="174"/>
      <c r="E54" s="173"/>
      <c r="F54" s="173"/>
      <c r="G54" s="175"/>
      <c r="H54" s="176"/>
    </row>
    <row r="55" spans="1:8" ht="14.25" customHeight="1">
      <c r="A55" s="177" t="s">
        <v>153</v>
      </c>
      <c r="B55" s="135"/>
      <c r="C55" s="135"/>
      <c r="D55" s="135"/>
      <c r="E55" s="135"/>
      <c r="F55" s="135"/>
      <c r="G55" s="139"/>
      <c r="H55" s="173"/>
    </row>
    <row r="56" spans="1:8" ht="14.25" customHeight="1">
      <c r="A56" s="217" t="s">
        <v>154</v>
      </c>
      <c r="B56" s="217"/>
      <c r="C56" s="135"/>
      <c r="D56" s="135"/>
      <c r="E56" s="135"/>
      <c r="F56" s="135"/>
      <c r="G56" s="178">
        <f>G28</f>
        <v>57731218</v>
      </c>
      <c r="H56" s="173"/>
    </row>
    <row r="57" spans="1:8" ht="14.25" customHeight="1">
      <c r="A57" s="217" t="s">
        <v>155</v>
      </c>
      <c r="B57" s="217"/>
      <c r="C57" s="215"/>
      <c r="D57" s="135"/>
      <c r="E57" s="135"/>
      <c r="F57" s="135"/>
      <c r="G57" s="143">
        <f>G29</f>
        <v>18276088</v>
      </c>
      <c r="H57" s="173"/>
    </row>
    <row r="58" spans="1:8" ht="7.5" customHeight="1">
      <c r="A58" s="139"/>
      <c r="B58" s="135"/>
      <c r="C58" s="135"/>
      <c r="D58" s="135"/>
      <c r="E58" s="135"/>
      <c r="F58" s="135"/>
      <c r="G58" s="139"/>
      <c r="H58" s="173"/>
    </row>
    <row r="59" spans="1:8" ht="14.25" customHeight="1">
      <c r="A59" s="177" t="s">
        <v>91</v>
      </c>
      <c r="B59" s="177"/>
      <c r="C59" s="135"/>
      <c r="D59" s="135"/>
      <c r="E59" s="135"/>
      <c r="F59" s="135"/>
      <c r="G59" s="139">
        <f>SUM(G56:G58)</f>
        <v>76007306</v>
      </c>
      <c r="H59" s="173"/>
    </row>
    <row r="60" spans="1:8" ht="14.25" customHeight="1">
      <c r="A60" s="135" t="s">
        <v>156</v>
      </c>
      <c r="B60" s="135"/>
      <c r="C60" s="135"/>
      <c r="D60" s="135"/>
      <c r="E60" s="135"/>
      <c r="F60" s="135"/>
      <c r="G60" s="139"/>
      <c r="H60" s="173"/>
    </row>
    <row r="61" spans="1:8" ht="14.25" customHeight="1">
      <c r="A61" s="135" t="s">
        <v>154</v>
      </c>
      <c r="B61" s="135"/>
      <c r="C61" s="135"/>
      <c r="D61" s="135"/>
      <c r="E61" s="135"/>
      <c r="F61" s="135"/>
      <c r="G61" s="140">
        <v>58405764.539999999</v>
      </c>
      <c r="H61" s="173"/>
    </row>
    <row r="62" spans="1:8" ht="14.25" customHeight="1">
      <c r="A62" s="135" t="s">
        <v>155</v>
      </c>
      <c r="B62" s="135"/>
      <c r="C62" s="135"/>
      <c r="D62" s="135"/>
      <c r="E62" s="135"/>
      <c r="F62" s="135"/>
      <c r="G62" s="143">
        <v>17962369.010000002</v>
      </c>
      <c r="H62" s="173"/>
    </row>
    <row r="63" spans="1:8" ht="7.5" customHeight="1">
      <c r="A63" s="135"/>
      <c r="B63" s="135"/>
      <c r="C63" s="135"/>
      <c r="D63" s="135"/>
      <c r="E63" s="135"/>
      <c r="F63" s="135"/>
      <c r="G63" s="140"/>
      <c r="H63" s="173"/>
    </row>
    <row r="64" spans="1:8" ht="14.25" customHeight="1">
      <c r="A64" s="135" t="s">
        <v>91</v>
      </c>
      <c r="B64" s="135"/>
      <c r="C64" s="135"/>
      <c r="D64" s="135"/>
      <c r="E64" s="135"/>
      <c r="F64" s="135"/>
      <c r="G64" s="140">
        <f>SUM(G61:G63)</f>
        <v>76368133.549999997</v>
      </c>
      <c r="H64" s="173"/>
    </row>
    <row r="65" spans="1:8" ht="12.75" customHeight="1">
      <c r="A65" s="135"/>
      <c r="B65" s="135"/>
      <c r="C65" s="135"/>
      <c r="D65" s="135"/>
      <c r="E65" s="135"/>
      <c r="F65" s="135"/>
      <c r="G65" s="139"/>
      <c r="H65" s="173"/>
    </row>
    <row r="66" spans="1:8" ht="14.25" customHeight="1">
      <c r="A66" s="137" t="s">
        <v>123</v>
      </c>
      <c r="B66" s="135"/>
      <c r="C66" s="135"/>
      <c r="D66" s="135"/>
      <c r="E66" s="135"/>
      <c r="F66" s="135"/>
      <c r="G66" s="179">
        <f>G64-G59</f>
        <v>360827.54999999702</v>
      </c>
      <c r="H66" s="173"/>
    </row>
    <row r="67" spans="1:8" ht="24" customHeight="1">
      <c r="A67" s="135"/>
      <c r="B67" s="135"/>
      <c r="C67" s="135"/>
      <c r="D67" s="135"/>
      <c r="E67" s="135"/>
      <c r="F67" s="135"/>
      <c r="G67" s="139"/>
      <c r="H67" s="173"/>
    </row>
    <row r="68" spans="1:8" ht="17.25" customHeight="1">
      <c r="A68" s="180" t="s">
        <v>157</v>
      </c>
      <c r="B68" s="181"/>
      <c r="C68" s="181"/>
      <c r="D68" s="181"/>
      <c r="E68" s="181"/>
      <c r="F68" s="181"/>
      <c r="G68" s="182"/>
      <c r="H68" s="173"/>
    </row>
    <row r="69" spans="1:8" ht="20.25" customHeight="1">
      <c r="A69" s="181" t="s">
        <v>158</v>
      </c>
      <c r="B69" s="181"/>
      <c r="C69" s="181"/>
      <c r="D69" s="181"/>
      <c r="E69" s="181"/>
      <c r="F69" s="181"/>
      <c r="G69" s="183">
        <f>26900000-21245733.44</f>
        <v>5654266.5599999987</v>
      </c>
      <c r="H69" s="173"/>
    </row>
    <row r="70" spans="1:8" ht="14.25" customHeight="1">
      <c r="A70" s="181"/>
      <c r="B70" s="181"/>
      <c r="C70" s="181"/>
      <c r="D70" s="181"/>
      <c r="E70" s="181"/>
      <c r="F70" s="181"/>
      <c r="G70" s="182"/>
      <c r="H70" s="173"/>
    </row>
    <row r="71" spans="1:8" ht="14.25" customHeight="1">
      <c r="A71" s="181" t="s">
        <v>162</v>
      </c>
      <c r="B71" s="181"/>
      <c r="C71" s="181"/>
      <c r="D71" s="181"/>
      <c r="E71" s="181"/>
      <c r="F71" s="181"/>
      <c r="G71" s="182">
        <f>G66+G69</f>
        <v>6015094.1099999957</v>
      </c>
    </row>
    <row r="72" spans="1:8" ht="14.25" customHeight="1">
      <c r="A72" s="181" t="s">
        <v>159</v>
      </c>
      <c r="B72" s="181"/>
      <c r="C72" s="181"/>
      <c r="D72" s="181"/>
      <c r="E72" s="181"/>
      <c r="F72" s="181"/>
      <c r="G72" s="183">
        <v>900000</v>
      </c>
    </row>
    <row r="73" spans="1:8" ht="14.25" customHeight="1">
      <c r="A73" s="181" t="s">
        <v>164</v>
      </c>
      <c r="B73" s="181"/>
      <c r="C73" s="181"/>
      <c r="D73" s="181"/>
      <c r="E73" s="181"/>
      <c r="F73" s="181"/>
      <c r="G73" s="183">
        <v>-674547</v>
      </c>
    </row>
    <row r="74" spans="1:8" ht="14.25" customHeight="1">
      <c r="A74" s="181"/>
      <c r="B74" s="181"/>
      <c r="C74" s="181"/>
      <c r="D74" s="181"/>
      <c r="E74" s="181"/>
      <c r="F74" s="181"/>
      <c r="G74" s="181"/>
    </row>
    <row r="75" spans="1:8" ht="14.25" customHeight="1" thickBot="1">
      <c r="A75" s="184" t="s">
        <v>160</v>
      </c>
      <c r="B75" s="181"/>
      <c r="C75" s="181"/>
      <c r="D75" s="181"/>
      <c r="E75" s="181"/>
      <c r="F75" s="181"/>
      <c r="G75" s="185">
        <f>G71+G72+G73</f>
        <v>6240547.1099999957</v>
      </c>
    </row>
    <row r="76" spans="1:8" ht="13.5" thickTop="1"/>
    <row r="77" spans="1:8" ht="7.5" customHeight="1"/>
    <row r="78" spans="1:8">
      <c r="A78" s="132"/>
    </row>
    <row r="79" spans="1:8">
      <c r="A79" s="132"/>
    </row>
  </sheetData>
  <mergeCells count="3">
    <mergeCell ref="A3:H3"/>
    <mergeCell ref="A56:B56"/>
    <mergeCell ref="A57:C57"/>
  </mergeCells>
  <pageMargins left="0.5" right="0.27" top="0.31" bottom="0.43" header="0.24" footer="0.36"/>
  <pageSetup paperSize="9" scale="74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Schema2012</vt:lpstr>
      <vt:lpstr>NK2012</vt:lpstr>
      <vt:lpstr>Nebenerträge</vt:lpstr>
      <vt:lpstr>Zinsaufteilung</vt:lpstr>
      <vt:lpstr>Direkte Kosten</vt:lpstr>
      <vt:lpstr>NKBericht1</vt:lpstr>
      <vt:lpstr>'NK2012'!Druckbereich</vt:lpstr>
      <vt:lpstr>NKBericht1!Druckbereich</vt:lpstr>
      <vt:lpstr>Schema2012!Druckbereich</vt:lpstr>
    </vt:vector>
  </TitlesOfParts>
  <Company>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u660k04</cp:lastModifiedBy>
  <cp:lastPrinted>2013-09-16T08:38:57Z</cp:lastPrinted>
  <dcterms:created xsi:type="dcterms:W3CDTF">2003-06-18T06:26:32Z</dcterms:created>
  <dcterms:modified xsi:type="dcterms:W3CDTF">2013-09-16T08:39:01Z</dcterms:modified>
</cp:coreProperties>
</file>